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2"/>
  </bookViews>
  <sheets>
    <sheet name="Summary" sheetId="1" r:id="rId1"/>
    <sheet name="Hydraulic" sheetId="2" r:id="rId2"/>
    <sheet name="Fuel" sheetId="3" r:id="rId3"/>
    <sheet name="Load" sheetId="4" r:id="rId4"/>
  </sheets>
  <definedNames>
    <definedName name="_xlnm.Print_Area" localSheetId="2">'Fuel'!$A$1:$T$52</definedName>
    <definedName name="_xlnm.Print_Area" localSheetId="1">'Hydraulic'!$A$1:$V$40</definedName>
  </definedNames>
  <calcPr fullCalcOnLoad="1"/>
</workbook>
</file>

<file path=xl/sharedStrings.xml><?xml version="1.0" encoding="utf-8"?>
<sst xmlns="http://schemas.openxmlformats.org/spreadsheetml/2006/main" count="458" uniqueCount="122">
  <si>
    <t>Newfoundland and Labrador Hydro</t>
  </si>
  <si>
    <t>Rate Stabilization Plan</t>
  </si>
  <si>
    <t>Summary Report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</si>
  <si>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</si>
  <si>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</si>
  <si>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</si>
  <si>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</si>
  <si>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</si>
  <si>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</si>
  <si>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</si>
  <si>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</si>
  <si>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</si>
  <si>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</si>
  <si>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</si>
  <si>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</si>
  <si>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Water Variation</t>
  </si>
  <si>
    <t>HYDRO THERMAL SPLIT</t>
  </si>
  <si>
    <t>BDE</t>
  </si>
  <si>
    <t>HLK</t>
  </si>
  <si>
    <t>USL</t>
  </si>
  <si>
    <t>CAT</t>
  </si>
  <si>
    <t>PDR</t>
  </si>
  <si>
    <t>TOTAL</t>
  </si>
  <si>
    <t>Monthly</t>
  </si>
  <si>
    <t>Variance</t>
  </si>
  <si>
    <t xml:space="preserve">Efficiency </t>
  </si>
  <si>
    <t>Factor</t>
  </si>
  <si>
    <t>COS</t>
  </si>
  <si>
    <t>Fuel $</t>
  </si>
  <si>
    <t>Cost</t>
  </si>
  <si>
    <t>Fuel Variation</t>
  </si>
  <si>
    <t>Emergency</t>
  </si>
  <si>
    <t>Gas</t>
  </si>
  <si>
    <t>Hawke's</t>
  </si>
  <si>
    <t xml:space="preserve">Rounded </t>
  </si>
  <si>
    <t>Rounded</t>
  </si>
  <si>
    <t>Bunker C</t>
  </si>
  <si>
    <t>Energy</t>
  </si>
  <si>
    <t>Turbine</t>
  </si>
  <si>
    <t>Bay</t>
  </si>
  <si>
    <t>Barrels</t>
  </si>
  <si>
    <t>Price</t>
  </si>
  <si>
    <t>Fuel</t>
  </si>
  <si>
    <t>Total  $</t>
  </si>
  <si>
    <t>Fuel Cost</t>
  </si>
  <si>
    <t>Variation</t>
  </si>
  <si>
    <t>kWhrs</t>
  </si>
  <si>
    <t>Efficiency</t>
  </si>
  <si>
    <t>Rate</t>
  </si>
  <si>
    <t>Firm Energy Sales</t>
  </si>
  <si>
    <t>Utility</t>
  </si>
  <si>
    <t>Secondary Energy Sales</t>
  </si>
  <si>
    <t>Newfoundland Power</t>
  </si>
  <si>
    <t>Abitibi-Price GF</t>
  </si>
  <si>
    <t>1st block</t>
  </si>
  <si>
    <t>2nd block</t>
  </si>
  <si>
    <t>Abitibi-Price Stephenville</t>
  </si>
  <si>
    <t>Deer Lake Power</t>
  </si>
  <si>
    <t>Corner Brook</t>
  </si>
  <si>
    <t>North Atlantic Refining</t>
  </si>
  <si>
    <t xml:space="preserve"> </t>
  </si>
  <si>
    <t>Total</t>
  </si>
  <si>
    <t>Load kWhrs</t>
  </si>
  <si>
    <t>Variation kWhrs</t>
  </si>
  <si>
    <t>Fuel Price</t>
  </si>
  <si>
    <t>per  kWh</t>
  </si>
  <si>
    <t>Difference</t>
  </si>
  <si>
    <t>Diff  Round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</si>
  <si>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</si>
  <si>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</si>
  <si>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</si>
  <si>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</si>
  <si>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</si>
  <si>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</si>
  <si>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</si>
  <si>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</si>
  <si>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</si>
  <si>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</si>
  <si>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</si>
  <si>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</si>
  <si>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Industrial</t>
  </si>
  <si>
    <t>Revenue</t>
  </si>
  <si>
    <t>Mill rate</t>
  </si>
  <si>
    <t xml:space="preserve">Revenue </t>
  </si>
  <si>
    <t>Refunded (Recovery) Costs</t>
  </si>
  <si>
    <t>Load Variation Cost</t>
  </si>
  <si>
    <t>Interest</t>
  </si>
  <si>
    <t>To Date</t>
  </si>
  <si>
    <t>Production</t>
  </si>
  <si>
    <t>Firm</t>
  </si>
  <si>
    <t>Load Varaition</t>
  </si>
  <si>
    <t>Secondary</t>
  </si>
  <si>
    <t>Hydraulic Variation</t>
  </si>
  <si>
    <t>revised</t>
  </si>
  <si>
    <t>Recovery</t>
  </si>
  <si>
    <t>Labrador Interconnected</t>
  </si>
  <si>
    <t>Labrador</t>
  </si>
  <si>
    <t>Interconnected</t>
  </si>
  <si>
    <t>Rural Rate Alteration</t>
  </si>
  <si>
    <t>Total To Date</t>
  </si>
  <si>
    <t>Due From (To)</t>
  </si>
  <si>
    <t>Customers</t>
  </si>
  <si>
    <t>Balance</t>
  </si>
  <si>
    <t>Rural</t>
  </si>
  <si>
    <t>rounding to G/L</t>
  </si>
  <si>
    <t xml:space="preserve">                      </t>
  </si>
  <si>
    <t>PUB    2002</t>
  </si>
  <si>
    <t>opening 2001</t>
  </si>
  <si>
    <t>2002</t>
  </si>
  <si>
    <t>PUB</t>
  </si>
  <si>
    <t>Forecast 2002</t>
  </si>
  <si>
    <t>2002  COST OF SERVICE</t>
  </si>
  <si>
    <t>2002 COS</t>
  </si>
  <si>
    <t>Mini Hydro</t>
  </si>
  <si>
    <t>Recovery rates of:</t>
  </si>
  <si>
    <t>Non firm</t>
  </si>
  <si>
    <t>Non firm sales</t>
  </si>
  <si>
    <t>Total firm sales</t>
  </si>
  <si>
    <t>Total non-firm sales</t>
  </si>
  <si>
    <t>COS 2002 kWhrs</t>
  </si>
  <si>
    <t>adjustment</t>
  </si>
  <si>
    <t xml:space="preserve">WACC  7.399% annually @  7.16% monthly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</si>
</sst>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dd\-mmm\-yy_)"/>
    <numFmt numFmtId="167" formatCode="hh:mm\ AM/PM_)"/>
    <numFmt numFmtId="168" formatCode="0.00000"/>
    <numFmt numFmtId="169" formatCode="0.0000"/>
    <numFmt numFmtId="170" formatCode="0.0"/>
    <numFmt numFmtId="171" formatCode="#,##0.0_);[Red]\(#,##0.0\)"/>
    <numFmt numFmtId="172" formatCode="#,##0.000_);[Red]\(#,##0.000\)"/>
    <numFmt numFmtId="173" formatCode="#,##0.0000_);[Red]\(#,##0.0000\)"/>
    <numFmt numFmtId="174" formatCode="#,##0.00000_);[Red]\(#,##0.00000\)"/>
    <numFmt numFmtId="175" formatCode="0.000000"/>
    <numFmt numFmtId="176" formatCode="0_)"/>
    <numFmt numFmtId="177" formatCode="00000"/>
    <numFmt numFmtId="178" formatCode="0.0000%"/>
    <numFmt numFmtId="179" formatCode="0.0000_);[Red]\(0.0000\)"/>
    <numFmt numFmtId="180" formatCode="0.000000_);[Red]\(0.000000\)"/>
    <numFmt numFmtId="181" formatCode="#,##0.000000_);[Red]\(#,##0.000000\)"/>
    <numFmt numFmtId="182" formatCode="0.000_);[Red]\(0.000\)"/>
    <numFmt numFmtId="183" formatCode="_(* #,##0.0_);_(* \(#,##0.0\);_(* &quot;-&quot;??_);_(@_)"/>
    <numFmt numFmtId="184" formatCode="_(* #,##0_);_(* \(#,##0\);_(* &quot;-&quot;??_);_(@_)"/>
    <numFmt numFmtId="185" formatCode="0_);[Red]\(0\)"/>
    <numFmt numFmtId="186" formatCode="#,##0.0000_);\(#,##0.0000\)"/>
    <numFmt numFmtId="187" formatCode="#,##0.000000_);\(#,##0.000000\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0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"/>
      <protection/>
    </xf>
    <xf numFmtId="39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72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0" fontId="1" fillId="0" borderId="0" xfId="0" applyNumberFormat="1" applyFont="1" applyAlignment="1" applyProtection="1">
      <alignment horizontal="center"/>
      <protection/>
    </xf>
    <xf numFmtId="40" fontId="1" fillId="0" borderId="2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Continuous"/>
    </xf>
    <xf numFmtId="40" fontId="1" fillId="0" borderId="0" xfId="0" applyNumberFormat="1" applyFont="1" applyAlignment="1">
      <alignment horizontal="center"/>
    </xf>
    <xf numFmtId="181" fontId="1" fillId="0" borderId="0" xfId="0" applyNumberFormat="1" applyFont="1" applyAlignment="1" applyProtection="1">
      <alignment horizontal="center"/>
      <protection/>
    </xf>
    <xf numFmtId="181" fontId="1" fillId="0" borderId="0" xfId="0" applyNumberFormat="1" applyFont="1" applyAlignment="1">
      <alignment/>
    </xf>
    <xf numFmtId="40" fontId="2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0" fontId="1" fillId="0" borderId="0" xfId="0" applyNumberFormat="1" applyFont="1" applyAlignment="1" applyProtection="1">
      <alignment/>
      <protection/>
    </xf>
    <xf numFmtId="40" fontId="1" fillId="0" borderId="0" xfId="0" applyNumberFormat="1" applyFont="1" applyBorder="1" applyAlignment="1" applyProtection="1">
      <alignment/>
      <protection/>
    </xf>
    <xf numFmtId="40" fontId="1" fillId="0" borderId="3" xfId="0" applyNumberFormat="1" applyFont="1" applyBorder="1" applyAlignment="1" applyProtection="1">
      <alignment/>
      <protection/>
    </xf>
    <xf numFmtId="40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39" fontId="1" fillId="0" borderId="4" xfId="0" applyNumberFormat="1" applyFont="1" applyBorder="1" applyAlignment="1">
      <alignment/>
    </xf>
    <xf numFmtId="39" fontId="1" fillId="0" borderId="5" xfId="0" applyNumberFormat="1" applyFont="1" applyBorder="1" applyAlignment="1">
      <alignment/>
    </xf>
    <xf numFmtId="39" fontId="1" fillId="0" borderId="6" xfId="0" applyNumberFormat="1" applyFont="1" applyBorder="1" applyAlignment="1">
      <alignment/>
    </xf>
    <xf numFmtId="39" fontId="1" fillId="0" borderId="0" xfId="0" applyNumberFormat="1" applyFont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 applyProtection="1">
      <alignment horizontal="center"/>
      <protection/>
    </xf>
    <xf numFmtId="39" fontId="1" fillId="0" borderId="1" xfId="0" applyNumberFormat="1" applyFont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15" applyNumberFormat="1" applyFont="1" applyAlignment="1">
      <alignment/>
    </xf>
    <xf numFmtId="37" fontId="1" fillId="0" borderId="1" xfId="15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39" fontId="1" fillId="0" borderId="0" xfId="0" applyNumberFormat="1" applyFont="1" applyBorder="1" applyAlignment="1">
      <alignment/>
    </xf>
    <xf numFmtId="187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39">
      <selection activeCell="C46" sqref="C46"/>
    </sheetView>
  </sheetViews>
  <sheetFormatPr defaultColWidth="9.140625" defaultRowHeight="12.75"/>
  <cols>
    <col min="1" max="1" width="9.140625" style="10" customWidth="1"/>
    <col min="2" max="2" width="2.7109375" style="10" customWidth="1"/>
    <col min="3" max="5" width="13.7109375" style="10" customWidth="1"/>
    <col min="6" max="6" width="2.7109375" style="10" customWidth="1"/>
    <col min="7" max="9" width="13.7109375" style="10" customWidth="1"/>
    <col min="10" max="10" width="2.7109375" style="10" customWidth="1"/>
    <col min="11" max="13" width="13.7109375" style="10" customWidth="1"/>
    <col min="14" max="14" width="2.7109375" style="10" customWidth="1"/>
    <col min="15" max="17" width="13.7109375" style="10" customWidth="1"/>
    <col min="18" max="18" width="2.7109375" style="10" customWidth="1"/>
    <col min="19" max="16384" width="9.140625" style="10" customWidth="1"/>
  </cols>
  <sheetData>
    <row r="1" spans="1:17" ht="11.25">
      <c r="A1" s="32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1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1.25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1.25">
      <c r="A4" s="30" t="s">
        <v>106</v>
      </c>
      <c r="B4" s="31"/>
      <c r="C4" s="31"/>
      <c r="D4" s="14"/>
      <c r="E4" s="1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7" ht="11.25">
      <c r="A5" s="36" t="s">
        <v>121</v>
      </c>
      <c r="G5" s="36"/>
    </row>
    <row r="6" ht="11.25">
      <c r="A6" s="36"/>
    </row>
    <row r="7" spans="3:17" ht="11.25">
      <c r="C7" s="25"/>
      <c r="D7" s="25" t="s">
        <v>92</v>
      </c>
      <c r="E7" s="25"/>
      <c r="G7" s="26" t="s">
        <v>90</v>
      </c>
      <c r="H7" s="26"/>
      <c r="I7" s="26"/>
      <c r="J7" s="26"/>
      <c r="K7" s="26"/>
      <c r="L7" s="26"/>
      <c r="M7" s="26"/>
      <c r="O7" s="26" t="s">
        <v>30</v>
      </c>
      <c r="P7" s="26"/>
      <c r="Q7" s="26"/>
    </row>
    <row r="8" spans="3:17" ht="11.25">
      <c r="C8" s="27"/>
      <c r="D8" s="27"/>
      <c r="E8" s="27" t="s">
        <v>61</v>
      </c>
      <c r="G8" s="27"/>
      <c r="H8" s="27"/>
      <c r="I8" s="27" t="s">
        <v>61</v>
      </c>
      <c r="K8" s="27"/>
      <c r="L8" s="27"/>
      <c r="M8" s="27" t="s">
        <v>61</v>
      </c>
      <c r="O8" s="27"/>
      <c r="P8" s="27"/>
      <c r="Q8" s="27" t="s">
        <v>61</v>
      </c>
    </row>
    <row r="9" spans="3:17" ht="11.25">
      <c r="C9" s="25" t="s">
        <v>88</v>
      </c>
      <c r="D9" s="25" t="s">
        <v>86</v>
      </c>
      <c r="E9" s="25" t="s">
        <v>87</v>
      </c>
      <c r="G9" s="25" t="s">
        <v>89</v>
      </c>
      <c r="H9" s="25" t="s">
        <v>86</v>
      </c>
      <c r="I9" s="25" t="s">
        <v>87</v>
      </c>
      <c r="K9" s="25" t="s">
        <v>91</v>
      </c>
      <c r="L9" s="25" t="s">
        <v>86</v>
      </c>
      <c r="M9" s="25" t="s">
        <v>87</v>
      </c>
      <c r="O9" s="25" t="s">
        <v>42</v>
      </c>
      <c r="P9" s="25" t="s">
        <v>86</v>
      </c>
      <c r="Q9" s="25" t="s">
        <v>87</v>
      </c>
    </row>
    <row r="10" spans="3:16" ht="11.25">
      <c r="C10" s="29" t="s">
        <v>60</v>
      </c>
      <c r="D10" s="28">
        <f>0.0716/12</f>
        <v>0.005966666666666666</v>
      </c>
      <c r="H10" s="29">
        <f>+D10</f>
        <v>0.005966666666666666</v>
      </c>
      <c r="L10" s="29">
        <f>+D10</f>
        <v>0.005966666666666666</v>
      </c>
      <c r="P10" s="29">
        <f>+D10</f>
        <v>0.005966666666666666</v>
      </c>
    </row>
    <row r="11" ht="11.25">
      <c r="D11" s="24"/>
    </row>
    <row r="12" spans="1:17" ht="11.25">
      <c r="A12" s="10" t="s">
        <v>107</v>
      </c>
      <c r="C12" s="19">
        <v>15514471.1</v>
      </c>
      <c r="D12" s="19">
        <v>222262550.29</v>
      </c>
      <c r="E12" s="19">
        <f>+C12+D12</f>
        <v>237777021.39</v>
      </c>
      <c r="F12" s="19"/>
      <c r="G12" s="19">
        <v>7062113.3</v>
      </c>
      <c r="H12" s="19">
        <v>-11132947.29</v>
      </c>
      <c r="I12" s="19">
        <f>+G12+H12</f>
        <v>-4070833.9899999993</v>
      </c>
      <c r="J12" s="19"/>
      <c r="K12" s="19">
        <v>1063710.87</v>
      </c>
      <c r="L12" s="19">
        <v>3086078.75</v>
      </c>
      <c r="M12" s="19">
        <f>+K12+L12</f>
        <v>4149789.62</v>
      </c>
      <c r="N12" s="19"/>
      <c r="O12" s="19">
        <v>78044966.54</v>
      </c>
      <c r="P12" s="19">
        <v>-247626767.3</v>
      </c>
      <c r="Q12" s="19">
        <f>+O12+P12</f>
        <v>-169581800.76</v>
      </c>
    </row>
    <row r="13" spans="1:17" ht="11.25">
      <c r="A13" s="10" t="s">
        <v>120</v>
      </c>
      <c r="C13" s="19"/>
      <c r="D13" s="19">
        <v>0</v>
      </c>
      <c r="E13" s="19">
        <f>+C13+D13</f>
        <v>0</v>
      </c>
      <c r="F13" s="19"/>
      <c r="G13" s="19"/>
      <c r="H13" s="19">
        <v>0</v>
      </c>
      <c r="I13" s="19">
        <f>+G13+H13</f>
        <v>0</v>
      </c>
      <c r="J13" s="19"/>
      <c r="K13" s="19"/>
      <c r="L13" s="19">
        <v>0</v>
      </c>
      <c r="M13" s="19">
        <f>+K13+L13</f>
        <v>0</v>
      </c>
      <c r="N13" s="19"/>
      <c r="O13" s="19"/>
      <c r="P13" s="19"/>
      <c r="Q13" s="19">
        <f>+O13+P13</f>
        <v>0</v>
      </c>
    </row>
    <row r="14" spans="1:17" ht="11.25">
      <c r="A14" s="10" t="s">
        <v>93</v>
      </c>
      <c r="C14" s="39">
        <f>+C12+C13</f>
        <v>15514471.1</v>
      </c>
      <c r="D14" s="39">
        <f>+D12+D13</f>
        <v>222262550.29</v>
      </c>
      <c r="E14" s="39">
        <f>+C14+D14</f>
        <v>237777021.39</v>
      </c>
      <c r="F14" s="19"/>
      <c r="G14" s="39">
        <f>+G12+G13</f>
        <v>7062113.3</v>
      </c>
      <c r="H14" s="39">
        <f>+H12+H13</f>
        <v>-11132947.29</v>
      </c>
      <c r="I14" s="39">
        <f>+G14+H14</f>
        <v>-4070833.9899999993</v>
      </c>
      <c r="J14" s="19"/>
      <c r="K14" s="39">
        <f>+K12+K13</f>
        <v>1063710.87</v>
      </c>
      <c r="L14" s="39">
        <f>+L12+L13</f>
        <v>3086078.75</v>
      </c>
      <c r="M14" s="39">
        <f>+K14+L14</f>
        <v>4149789.62</v>
      </c>
      <c r="N14" s="19"/>
      <c r="O14" s="39">
        <f>+O12+O13</f>
        <v>78044966.54</v>
      </c>
      <c r="P14" s="39">
        <f>+P12+P13</f>
        <v>-247626767.3</v>
      </c>
      <c r="Q14" s="39">
        <f>+O14+P14</f>
        <v>-169581800.76</v>
      </c>
    </row>
    <row r="15" spans="3:17" ht="11.2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1.25">
      <c r="A16" s="10" t="s">
        <v>3</v>
      </c>
      <c r="C16" s="19">
        <f>Hydraulic!V15</f>
        <v>0</v>
      </c>
      <c r="D16" s="19">
        <f>ROUND(D$10*E14,2)</f>
        <v>1418736.23</v>
      </c>
      <c r="E16" s="19">
        <f>+E14+C16+D16</f>
        <v>239195757.61999997</v>
      </c>
      <c r="F16" s="19"/>
      <c r="G16" s="19">
        <f>Load!$F$161</f>
        <v>0</v>
      </c>
      <c r="H16" s="19">
        <f>ROUND(H$10*I14,2)</f>
        <v>-24289.31</v>
      </c>
      <c r="I16" s="19">
        <f>+I14+G16+H16</f>
        <v>-4095123.2999999993</v>
      </c>
      <c r="J16" s="19"/>
      <c r="K16" s="19">
        <f>Load!$F$165</f>
        <v>0</v>
      </c>
      <c r="L16" s="19">
        <f>ROUND(L$10*M14,2)</f>
        <v>24760.41</v>
      </c>
      <c r="M16" s="19">
        <f>+M14+K16+L16</f>
        <v>4174550.0300000003</v>
      </c>
      <c r="N16" s="19"/>
      <c r="O16" s="19">
        <f>Fuel!T12</f>
        <v>2118626.240000001</v>
      </c>
      <c r="P16" s="19">
        <f>ROUND(P$10*Q14,2)</f>
        <v>-1011838.08</v>
      </c>
      <c r="Q16" s="19">
        <f>+Q14+O16+P16</f>
        <v>-168475012.6</v>
      </c>
    </row>
    <row r="17" spans="1:17" ht="11.25">
      <c r="A17" s="10" t="s">
        <v>4</v>
      </c>
      <c r="C17" s="19">
        <f>Hydraulic!V16</f>
        <v>0</v>
      </c>
      <c r="D17" s="19">
        <f>ROUND(D$10*E16,2)</f>
        <v>1427201.35</v>
      </c>
      <c r="E17" s="19">
        <f>+E16+C17+D17</f>
        <v>240622958.96999997</v>
      </c>
      <c r="F17" s="19"/>
      <c r="G17" s="19">
        <f>Load!$G$161</f>
        <v>0</v>
      </c>
      <c r="H17" s="19">
        <f>ROUND(H$10*I16,2)</f>
        <v>-24434.24</v>
      </c>
      <c r="I17" s="19">
        <f>+I16+G17+H17</f>
        <v>-4119557.5399999996</v>
      </c>
      <c r="J17" s="19"/>
      <c r="K17" s="19">
        <f>Load!$G$165</f>
        <v>0</v>
      </c>
      <c r="L17" s="19">
        <f>ROUND(L$10*M16,2)</f>
        <v>24908.15</v>
      </c>
      <c r="M17" s="19">
        <f>+M16+K17+L17</f>
        <v>4199458.180000001</v>
      </c>
      <c r="N17" s="19"/>
      <c r="O17" s="19">
        <f>Fuel!T13</f>
        <v>3050957.000000001</v>
      </c>
      <c r="P17" s="19">
        <f>ROUND(P$10*Q16,2)</f>
        <v>-1005234.24</v>
      </c>
      <c r="Q17" s="19">
        <f>+Q16+O17+P17</f>
        <v>-166429289.84</v>
      </c>
    </row>
    <row r="18" spans="1:17" ht="11.25">
      <c r="A18" s="10" t="s">
        <v>5</v>
      </c>
      <c r="C18" s="19">
        <f>Hydraulic!V17</f>
        <v>0</v>
      </c>
      <c r="D18" s="19">
        <f aca="true" t="shared" si="0" ref="D18:D27">ROUND(D$10*E17,2)</f>
        <v>1435716.99</v>
      </c>
      <c r="E18" s="19">
        <f aca="true" t="shared" si="1" ref="E18:E27">+E17+C18+D18</f>
        <v>242058675.95999998</v>
      </c>
      <c r="F18" s="19"/>
      <c r="G18" s="19">
        <f>Load!$H$161</f>
        <v>0</v>
      </c>
      <c r="H18" s="19">
        <f aca="true" t="shared" si="2" ref="H18:H27">ROUND(H$10*I17,2)</f>
        <v>-24580.03</v>
      </c>
      <c r="I18" s="19">
        <f aca="true" t="shared" si="3" ref="I18:I27">+I17+G18+H18</f>
        <v>-4144137.5699999994</v>
      </c>
      <c r="J18" s="19"/>
      <c r="K18" s="19">
        <f>Load!$H$165</f>
        <v>0</v>
      </c>
      <c r="L18" s="19">
        <f aca="true" t="shared" si="4" ref="L18:L27">ROUND(L$10*M17,2)</f>
        <v>25056.77</v>
      </c>
      <c r="M18" s="19">
        <f aca="true" t="shared" si="5" ref="M18:M27">+M17+K18+L18</f>
        <v>4224514.95</v>
      </c>
      <c r="N18" s="19"/>
      <c r="O18" s="19">
        <f>Fuel!T14</f>
        <v>2533107.2000000007</v>
      </c>
      <c r="P18" s="19">
        <f aca="true" t="shared" si="6" ref="P18:P27">ROUND(P$10*Q17,2)</f>
        <v>-993028.1</v>
      </c>
      <c r="Q18" s="19">
        <f aca="true" t="shared" si="7" ref="Q18:Q27">+Q17+O18+P18</f>
        <v>-164889210.74</v>
      </c>
    </row>
    <row r="19" spans="1:17" ht="11.25">
      <c r="A19" s="10" t="s">
        <v>6</v>
      </c>
      <c r="C19" s="19">
        <f>Hydraulic!V18</f>
        <v>0</v>
      </c>
      <c r="D19" s="19">
        <f t="shared" si="0"/>
        <v>1444283.43</v>
      </c>
      <c r="E19" s="19">
        <f t="shared" si="1"/>
        <v>243502959.39</v>
      </c>
      <c r="F19" s="19"/>
      <c r="G19" s="19">
        <f>Load!$I$161</f>
        <v>0</v>
      </c>
      <c r="H19" s="19">
        <f t="shared" si="2"/>
        <v>-24726.69</v>
      </c>
      <c r="I19" s="19">
        <f t="shared" si="3"/>
        <v>-4168864.2599999993</v>
      </c>
      <c r="J19" s="19"/>
      <c r="K19" s="19">
        <f>Load!$I$165</f>
        <v>0</v>
      </c>
      <c r="L19" s="19">
        <f t="shared" si="4"/>
        <v>25206.27</v>
      </c>
      <c r="M19" s="19">
        <f t="shared" si="5"/>
        <v>4249721.22</v>
      </c>
      <c r="N19" s="19"/>
      <c r="O19" s="19">
        <f>Fuel!T15</f>
        <v>2462486.6</v>
      </c>
      <c r="P19" s="19">
        <f t="shared" si="6"/>
        <v>-983838.96</v>
      </c>
      <c r="Q19" s="19">
        <f t="shared" si="7"/>
        <v>-163410563.10000002</v>
      </c>
    </row>
    <row r="20" spans="1:17" ht="11.25">
      <c r="A20" s="10" t="s">
        <v>7</v>
      </c>
      <c r="C20" s="19">
        <f>Hydraulic!V19</f>
        <v>0</v>
      </c>
      <c r="D20" s="19">
        <f t="shared" si="0"/>
        <v>1452900.99</v>
      </c>
      <c r="E20" s="19">
        <f t="shared" si="1"/>
        <v>244955860.38</v>
      </c>
      <c r="F20" s="19"/>
      <c r="G20" s="19">
        <f>Load!$J$161</f>
        <v>0</v>
      </c>
      <c r="H20" s="19">
        <f t="shared" si="2"/>
        <v>-24874.22</v>
      </c>
      <c r="I20" s="19">
        <f t="shared" si="3"/>
        <v>-4193738.4799999995</v>
      </c>
      <c r="J20" s="19"/>
      <c r="K20" s="19">
        <f>Load!$J$165</f>
        <v>0</v>
      </c>
      <c r="L20" s="19">
        <f t="shared" si="4"/>
        <v>25356.67</v>
      </c>
      <c r="M20" s="19">
        <f t="shared" si="5"/>
        <v>4275077.89</v>
      </c>
      <c r="N20" s="19"/>
      <c r="O20" s="19">
        <f>Fuel!T16</f>
        <v>1908311.56</v>
      </c>
      <c r="P20" s="19">
        <f t="shared" si="6"/>
        <v>-975016.36</v>
      </c>
      <c r="Q20" s="19">
        <f t="shared" si="7"/>
        <v>-162477267.90000004</v>
      </c>
    </row>
    <row r="21" spans="1:17" ht="11.25">
      <c r="A21" s="10" t="s">
        <v>8</v>
      </c>
      <c r="C21" s="19">
        <f>Hydraulic!V20</f>
        <v>0</v>
      </c>
      <c r="D21" s="19">
        <f t="shared" si="0"/>
        <v>1461569.97</v>
      </c>
      <c r="E21" s="19">
        <f t="shared" si="1"/>
        <v>246417430.35</v>
      </c>
      <c r="F21" s="19"/>
      <c r="G21" s="19">
        <f>Load!$K$161</f>
        <v>0</v>
      </c>
      <c r="H21" s="19">
        <f t="shared" si="2"/>
        <v>-25022.64</v>
      </c>
      <c r="I21" s="19">
        <f t="shared" si="3"/>
        <v>-4218761.119999999</v>
      </c>
      <c r="J21" s="19"/>
      <c r="K21" s="19">
        <f>Load!$K$165</f>
        <v>0</v>
      </c>
      <c r="L21" s="19">
        <f t="shared" si="4"/>
        <v>25507.96</v>
      </c>
      <c r="M21" s="19">
        <f t="shared" si="5"/>
        <v>4300585.85</v>
      </c>
      <c r="N21" s="19"/>
      <c r="O21" s="19">
        <f>Fuel!T17</f>
        <v>1282244.5599999996</v>
      </c>
      <c r="P21" s="19">
        <f t="shared" si="6"/>
        <v>-969447.7</v>
      </c>
      <c r="Q21" s="19">
        <f t="shared" si="7"/>
        <v>-162164471.04000002</v>
      </c>
    </row>
    <row r="22" spans="1:17" ht="11.25">
      <c r="A22" s="10" t="s">
        <v>9</v>
      </c>
      <c r="C22" s="19">
        <f>Hydraulic!V21</f>
        <v>0</v>
      </c>
      <c r="D22" s="19">
        <f t="shared" si="0"/>
        <v>1470290.67</v>
      </c>
      <c r="E22" s="19">
        <f t="shared" si="1"/>
        <v>247887721.01999998</v>
      </c>
      <c r="F22" s="19"/>
      <c r="G22" s="19">
        <f>Load!$L$161</f>
        <v>0</v>
      </c>
      <c r="H22" s="19">
        <f t="shared" si="2"/>
        <v>-25171.94</v>
      </c>
      <c r="I22" s="19">
        <f t="shared" si="3"/>
        <v>-4243933.06</v>
      </c>
      <c r="J22" s="19"/>
      <c r="K22" s="19">
        <f>Load!$L$165</f>
        <v>0</v>
      </c>
      <c r="L22" s="19">
        <f t="shared" si="4"/>
        <v>25660.16</v>
      </c>
      <c r="M22" s="19">
        <f t="shared" si="5"/>
        <v>4326246.01</v>
      </c>
      <c r="N22" s="19"/>
      <c r="O22" s="19">
        <f>Fuel!T18</f>
        <v>0</v>
      </c>
      <c r="P22" s="19">
        <f t="shared" si="6"/>
        <v>-967581.34</v>
      </c>
      <c r="Q22" s="19">
        <f t="shared" si="7"/>
        <v>-163132052.38000003</v>
      </c>
    </row>
    <row r="23" spans="1:17" ht="11.25">
      <c r="A23" s="10" t="s">
        <v>10</v>
      </c>
      <c r="C23" s="19">
        <f>Hydraulic!V22</f>
        <v>0</v>
      </c>
      <c r="D23" s="19">
        <f t="shared" si="0"/>
        <v>1479063.4</v>
      </c>
      <c r="E23" s="19">
        <f t="shared" si="1"/>
        <v>249366784.42</v>
      </c>
      <c r="F23" s="19"/>
      <c r="G23" s="19">
        <f>Load!$M$161</f>
        <v>0</v>
      </c>
      <c r="H23" s="19">
        <f t="shared" si="2"/>
        <v>-25322.13</v>
      </c>
      <c r="I23" s="19">
        <f t="shared" si="3"/>
        <v>-4269255.1899999995</v>
      </c>
      <c r="J23" s="19"/>
      <c r="K23" s="19">
        <f>Load!$M$165</f>
        <v>0</v>
      </c>
      <c r="L23" s="19">
        <f t="shared" si="4"/>
        <v>25813.27</v>
      </c>
      <c r="M23" s="19">
        <f t="shared" si="5"/>
        <v>4352059.279999999</v>
      </c>
      <c r="N23" s="19"/>
      <c r="O23" s="19">
        <f>Fuel!T19</f>
        <v>0</v>
      </c>
      <c r="P23" s="19">
        <f t="shared" si="6"/>
        <v>-973354.58</v>
      </c>
      <c r="Q23" s="19">
        <f t="shared" si="7"/>
        <v>-164105406.96000004</v>
      </c>
    </row>
    <row r="24" spans="1:17" ht="11.25">
      <c r="A24" s="10" t="s">
        <v>11</v>
      </c>
      <c r="C24" s="19">
        <f>Hydraulic!V23</f>
        <v>0</v>
      </c>
      <c r="D24" s="19">
        <f t="shared" si="0"/>
        <v>1487888.48</v>
      </c>
      <c r="E24" s="19">
        <f t="shared" si="1"/>
        <v>250854672.89999998</v>
      </c>
      <c r="F24" s="19"/>
      <c r="G24" s="19">
        <f>Load!$N$161</f>
        <v>0</v>
      </c>
      <c r="H24" s="19">
        <f t="shared" si="2"/>
        <v>-25473.22</v>
      </c>
      <c r="I24" s="19">
        <f t="shared" si="3"/>
        <v>-4294728.409999999</v>
      </c>
      <c r="J24" s="19"/>
      <c r="K24" s="19">
        <f>Load!$N$165</f>
        <v>0</v>
      </c>
      <c r="L24" s="19">
        <f t="shared" si="4"/>
        <v>25967.29</v>
      </c>
      <c r="M24" s="19">
        <f t="shared" si="5"/>
        <v>4378026.569999999</v>
      </c>
      <c r="N24" s="19"/>
      <c r="O24" s="19">
        <f>Fuel!T20</f>
        <v>1915963.17</v>
      </c>
      <c r="P24" s="19">
        <f t="shared" si="6"/>
        <v>-979162.26</v>
      </c>
      <c r="Q24" s="19">
        <f t="shared" si="7"/>
        <v>-163168606.05000004</v>
      </c>
    </row>
    <row r="25" spans="1:17" ht="11.25">
      <c r="A25" s="10" t="s">
        <v>12</v>
      </c>
      <c r="C25" s="19">
        <f>Hydraulic!V24</f>
        <v>0</v>
      </c>
      <c r="D25" s="19">
        <f t="shared" si="0"/>
        <v>1496766.21</v>
      </c>
      <c r="E25" s="19">
        <f t="shared" si="1"/>
        <v>252351439.10999998</v>
      </c>
      <c r="F25" s="19"/>
      <c r="G25" s="19">
        <f>Load!$O$161</f>
        <v>0</v>
      </c>
      <c r="H25" s="19">
        <f t="shared" si="2"/>
        <v>-25625.21</v>
      </c>
      <c r="I25" s="19">
        <f t="shared" si="3"/>
        <v>-4320353.619999999</v>
      </c>
      <c r="J25" s="19"/>
      <c r="K25" s="19">
        <f>Load!$O$165</f>
        <v>0</v>
      </c>
      <c r="L25" s="19">
        <f t="shared" si="4"/>
        <v>26122.23</v>
      </c>
      <c r="M25" s="19">
        <f t="shared" si="5"/>
        <v>4404148.8</v>
      </c>
      <c r="N25" s="19"/>
      <c r="O25" s="19">
        <f>Fuel!T21</f>
        <v>2699595.7800000003</v>
      </c>
      <c r="P25" s="19">
        <f t="shared" si="6"/>
        <v>-973572.68</v>
      </c>
      <c r="Q25" s="19">
        <f t="shared" si="7"/>
        <v>-161442582.95000005</v>
      </c>
    </row>
    <row r="26" spans="1:17" ht="11.25">
      <c r="A26" s="10" t="s">
        <v>13</v>
      </c>
      <c r="C26" s="19">
        <f>Hydraulic!V25</f>
        <v>0</v>
      </c>
      <c r="D26" s="19">
        <f t="shared" si="0"/>
        <v>1505696.92</v>
      </c>
      <c r="E26" s="19">
        <f t="shared" si="1"/>
        <v>253857136.02999997</v>
      </c>
      <c r="F26" s="19"/>
      <c r="G26" s="19">
        <f>Load!$P$161</f>
        <v>0</v>
      </c>
      <c r="H26" s="19">
        <f t="shared" si="2"/>
        <v>-25778.11</v>
      </c>
      <c r="I26" s="19">
        <f t="shared" si="3"/>
        <v>-4346131.7299999995</v>
      </c>
      <c r="J26" s="19"/>
      <c r="K26" s="19">
        <f>Load!$P$165</f>
        <v>0</v>
      </c>
      <c r="L26" s="19">
        <f t="shared" si="4"/>
        <v>26278.09</v>
      </c>
      <c r="M26" s="19">
        <f t="shared" si="5"/>
        <v>4430426.89</v>
      </c>
      <c r="N26" s="19"/>
      <c r="O26" s="19">
        <f>Fuel!T22</f>
        <v>3348414.7799999993</v>
      </c>
      <c r="P26" s="19">
        <f t="shared" si="6"/>
        <v>-963274.08</v>
      </c>
      <c r="Q26" s="19">
        <f t="shared" si="7"/>
        <v>-159057442.25000006</v>
      </c>
    </row>
    <row r="27" spans="1:17" ht="11.25">
      <c r="A27" s="10" t="s">
        <v>14</v>
      </c>
      <c r="C27" s="19">
        <f>Hydraulic!V26</f>
        <v>0</v>
      </c>
      <c r="D27" s="19">
        <f t="shared" si="0"/>
        <v>1514680.91</v>
      </c>
      <c r="E27" s="19">
        <f t="shared" si="1"/>
        <v>255371816.93999997</v>
      </c>
      <c r="F27" s="19"/>
      <c r="G27" s="19">
        <f>Load!$Q$161</f>
        <v>0</v>
      </c>
      <c r="H27" s="19">
        <f t="shared" si="2"/>
        <v>-25931.92</v>
      </c>
      <c r="I27" s="19">
        <f t="shared" si="3"/>
        <v>-4372063.649999999</v>
      </c>
      <c r="J27" s="19"/>
      <c r="K27" s="19">
        <f>Load!$Q$165</f>
        <v>0</v>
      </c>
      <c r="L27" s="19">
        <f t="shared" si="4"/>
        <v>26434.88</v>
      </c>
      <c r="M27" s="19">
        <f t="shared" si="5"/>
        <v>4456861.77</v>
      </c>
      <c r="N27" s="19"/>
      <c r="O27" s="19">
        <f>Fuel!T23</f>
        <v>4170516.049999999</v>
      </c>
      <c r="P27" s="19">
        <f t="shared" si="6"/>
        <v>-949042.74</v>
      </c>
      <c r="Q27" s="19">
        <f t="shared" si="7"/>
        <v>-155835968.94000006</v>
      </c>
    </row>
    <row r="28" spans="3:17" ht="11.2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3:17" ht="11.25">
      <c r="C29" s="40">
        <f>SUM(C16:C28)</f>
        <v>0</v>
      </c>
      <c r="D29" s="40">
        <f>SUM(D16:D28)</f>
        <v>17594795.55</v>
      </c>
      <c r="E29" s="40">
        <f>C29+D29</f>
        <v>17594795.55</v>
      </c>
      <c r="F29" s="19"/>
      <c r="G29" s="40">
        <f>SUM(G16:G28)</f>
        <v>0</v>
      </c>
      <c r="H29" s="40">
        <f>SUM(H16:H28)</f>
        <v>-301229.66</v>
      </c>
      <c r="I29" s="40">
        <f>G29+H29</f>
        <v>-301229.66</v>
      </c>
      <c r="J29" s="19"/>
      <c r="K29" s="40">
        <f>SUM(K16:K28)</f>
        <v>0</v>
      </c>
      <c r="L29" s="40">
        <f>SUM(L16:L28)</f>
        <v>307072.15</v>
      </c>
      <c r="M29" s="40">
        <f>K29+L29</f>
        <v>307072.15</v>
      </c>
      <c r="N29" s="19"/>
      <c r="O29" s="40">
        <f>SUM(O16:O28)</f>
        <v>25490222.939999998</v>
      </c>
      <c r="P29" s="40">
        <f>SUM(P16:P28)</f>
        <v>-11744391.120000001</v>
      </c>
      <c r="Q29" s="40">
        <f>O29+P29</f>
        <v>13745831.819999997</v>
      </c>
    </row>
    <row r="30" spans="3:17" ht="11.2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2" thickBot="1">
      <c r="A31" s="10" t="s">
        <v>102</v>
      </c>
      <c r="C31" s="41">
        <f>+C14+C29</f>
        <v>15514471.1</v>
      </c>
      <c r="D31" s="41">
        <f>+D14+D29</f>
        <v>239857345.84</v>
      </c>
      <c r="E31" s="41">
        <f>SUM(C31:D31)</f>
        <v>255371816.94</v>
      </c>
      <c r="F31" s="19"/>
      <c r="G31" s="41">
        <f>+G14+G29</f>
        <v>7062113.3</v>
      </c>
      <c r="H31" s="41">
        <f>+H14+H29</f>
        <v>-11434176.95</v>
      </c>
      <c r="I31" s="41">
        <f>SUM(G31:H31)</f>
        <v>-4372063.649999999</v>
      </c>
      <c r="J31" s="19"/>
      <c r="K31" s="41">
        <f>+K14+K29</f>
        <v>1063710.87</v>
      </c>
      <c r="L31" s="41">
        <f>+L14+L29</f>
        <v>3393150.9</v>
      </c>
      <c r="M31" s="41">
        <f>SUM(K31:L31)</f>
        <v>4456861.77</v>
      </c>
      <c r="N31" s="19"/>
      <c r="O31" s="41">
        <f>+O14+O29</f>
        <v>103535189.48</v>
      </c>
      <c r="P31" s="41">
        <f>+P14+P29</f>
        <v>-259371158.42000002</v>
      </c>
      <c r="Q31" s="41">
        <f>SUM(O31:P31)</f>
        <v>-155835968.94</v>
      </c>
    </row>
    <row r="32" spans="3:17" ht="12" thickTop="1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3:17" ht="11.2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3:17" ht="11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3:17" ht="11.25">
      <c r="C35" s="19"/>
      <c r="D35" s="19"/>
      <c r="E35" s="19"/>
      <c r="F35" s="19"/>
      <c r="G35" s="19"/>
      <c r="H35" s="19"/>
      <c r="I35" s="19"/>
      <c r="J35" s="19"/>
      <c r="K35" s="5"/>
      <c r="N35" s="19"/>
      <c r="O35" s="19"/>
      <c r="P35" s="19"/>
      <c r="Q35" s="19"/>
    </row>
    <row r="36" spans="3:17" ht="11.25">
      <c r="C36" s="19"/>
      <c r="D36" s="19"/>
      <c r="E36" s="19"/>
      <c r="F36" s="19"/>
      <c r="G36" s="19"/>
      <c r="H36" s="19"/>
      <c r="I36" s="19"/>
      <c r="J36" s="19"/>
      <c r="N36" s="19"/>
      <c r="O36" s="19"/>
      <c r="P36" s="19"/>
      <c r="Q36" s="19"/>
    </row>
    <row r="37" spans="3:17" ht="11.25">
      <c r="C37" s="19"/>
      <c r="D37" s="19"/>
      <c r="E37" s="19"/>
      <c r="F37" s="19"/>
      <c r="G37" s="19"/>
      <c r="H37" s="19"/>
      <c r="I37" s="19"/>
      <c r="J37" s="19"/>
      <c r="L37" s="2"/>
      <c r="M37" s="3"/>
      <c r="N37" s="19"/>
      <c r="O37" s="19"/>
      <c r="P37" s="19"/>
      <c r="Q37" s="19"/>
    </row>
    <row r="38" spans="3:17" ht="11.2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3:17" ht="11.2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3:17" ht="11.2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1.25">
      <c r="A41" s="30" t="str">
        <f>A1</f>
        <v>Newfoundland and Labrador Hydro</v>
      </c>
      <c r="B41" s="3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1.25">
      <c r="A42" s="30" t="str">
        <f>A2</f>
        <v>Rate Stabilization Plan</v>
      </c>
      <c r="B42" s="3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 ht="11.25">
      <c r="A43" s="30" t="str">
        <f>A3</f>
        <v>Summary Report</v>
      </c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7" ht="11.25">
      <c r="A44" s="30" t="str">
        <f>A4</f>
        <v>PUB    2002</v>
      </c>
      <c r="B44" s="3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11.25">
      <c r="A45" s="30"/>
      <c r="B45" s="3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1.25">
      <c r="A46" s="10" t="s">
        <v>60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1.25">
      <c r="A47" s="10" t="s">
        <v>60</v>
      </c>
      <c r="C47" s="43"/>
      <c r="D47" s="43" t="s">
        <v>94</v>
      </c>
      <c r="E47" s="43"/>
      <c r="F47" s="19"/>
      <c r="G47" s="43"/>
      <c r="H47" s="43" t="s">
        <v>95</v>
      </c>
      <c r="I47" s="43"/>
      <c r="J47" s="19"/>
      <c r="K47" s="43"/>
      <c r="L47" s="43" t="s">
        <v>98</v>
      </c>
      <c r="M47" s="43"/>
      <c r="N47" s="19"/>
      <c r="O47" s="44" t="s">
        <v>99</v>
      </c>
      <c r="P47" s="19"/>
      <c r="Q47" s="19"/>
    </row>
    <row r="48" spans="1:17" ht="11.25">
      <c r="A48" s="10" t="s">
        <v>60</v>
      </c>
      <c r="C48" s="44"/>
      <c r="D48" s="44"/>
      <c r="E48" s="44" t="s">
        <v>61</v>
      </c>
      <c r="F48" s="19"/>
      <c r="G48" s="44" t="s">
        <v>96</v>
      </c>
      <c r="H48" s="44"/>
      <c r="I48" s="44" t="s">
        <v>61</v>
      </c>
      <c r="J48" s="19"/>
      <c r="K48" s="44" t="s">
        <v>103</v>
      </c>
      <c r="L48" s="44"/>
      <c r="M48" s="44" t="s">
        <v>61</v>
      </c>
      <c r="N48" s="19"/>
      <c r="O48" s="44" t="s">
        <v>100</v>
      </c>
      <c r="P48" s="19"/>
      <c r="Q48" s="19"/>
    </row>
    <row r="49" spans="1:17" ht="11.25">
      <c r="A49" s="10" t="s">
        <v>60</v>
      </c>
      <c r="C49" s="43" t="str">
        <f>+D47</f>
        <v>Recovery</v>
      </c>
      <c r="D49" s="43" t="s">
        <v>86</v>
      </c>
      <c r="E49" s="43" t="s">
        <v>87</v>
      </c>
      <c r="F49" s="19"/>
      <c r="G49" s="43" t="s">
        <v>97</v>
      </c>
      <c r="H49" s="43" t="s">
        <v>86</v>
      </c>
      <c r="I49" s="43" t="s">
        <v>87</v>
      </c>
      <c r="J49" s="19"/>
      <c r="K49" s="43" t="s">
        <v>48</v>
      </c>
      <c r="L49" s="43" t="s">
        <v>86</v>
      </c>
      <c r="M49" s="43" t="s">
        <v>87</v>
      </c>
      <c r="N49" s="19"/>
      <c r="O49" s="43" t="s">
        <v>101</v>
      </c>
      <c r="P49" s="19"/>
      <c r="Q49" s="19"/>
    </row>
    <row r="50" spans="1:15" s="62" customFormat="1" ht="11.25">
      <c r="A50" s="62" t="s">
        <v>60</v>
      </c>
      <c r="D50" s="63">
        <f>+D10</f>
        <v>0.005966666666666666</v>
      </c>
      <c r="H50" s="63">
        <f>+H10</f>
        <v>0.005966666666666666</v>
      </c>
      <c r="L50" s="63">
        <f>+L10</f>
        <v>0.005966666666666666</v>
      </c>
      <c r="O50" s="64"/>
    </row>
    <row r="51" spans="1:17" ht="11.25">
      <c r="A51" s="10" t="s">
        <v>60</v>
      </c>
      <c r="C51" s="19"/>
      <c r="D51" s="45"/>
      <c r="E51" s="19"/>
      <c r="F51" s="19"/>
      <c r="G51" s="19"/>
      <c r="H51" s="45"/>
      <c r="I51" s="19"/>
      <c r="J51" s="19"/>
      <c r="K51" s="19"/>
      <c r="L51" s="45"/>
      <c r="M51" s="19"/>
      <c r="N51" s="19"/>
      <c r="O51" s="19"/>
      <c r="P51" s="19"/>
      <c r="Q51" s="19"/>
    </row>
    <row r="52" spans="1:17" ht="11.25">
      <c r="A52" s="10" t="str">
        <f aca="true" t="shared" si="8" ref="A52:A67">A12</f>
        <v>opening 2001</v>
      </c>
      <c r="C52" s="19">
        <v>-28128327.75</v>
      </c>
      <c r="D52" s="19">
        <v>51390706.17</v>
      </c>
      <c r="E52" s="19">
        <f>+C52+D52</f>
        <v>23262378.42</v>
      </c>
      <c r="F52" s="19"/>
      <c r="G52" s="19">
        <v>15901</v>
      </c>
      <c r="H52" s="19">
        <v>87019.42</v>
      </c>
      <c r="I52" s="19">
        <f>+G52+H52</f>
        <v>102920.42</v>
      </c>
      <c r="J52" s="19"/>
      <c r="K52" s="19">
        <v>-3479945.4</v>
      </c>
      <c r="L52" s="19">
        <v>-762218.48</v>
      </c>
      <c r="M52" s="19">
        <f>+K52+L52</f>
        <v>-4242163.88</v>
      </c>
      <c r="N52" s="19"/>
      <c r="O52" s="19">
        <f>+E12+I12+M12+Q12+E52+I52+M52</f>
        <v>87397311.22</v>
      </c>
      <c r="P52" s="19"/>
      <c r="Q52" s="19"/>
    </row>
    <row r="53" spans="1:17" ht="11.25">
      <c r="A53" s="10" t="str">
        <f t="shared" si="8"/>
        <v>adjustment</v>
      </c>
      <c r="C53" s="19"/>
      <c r="D53" s="19">
        <v>0</v>
      </c>
      <c r="E53" s="19">
        <f>+C53+D53</f>
        <v>0</v>
      </c>
      <c r="F53" s="19"/>
      <c r="G53" s="19"/>
      <c r="H53" s="19">
        <v>0</v>
      </c>
      <c r="I53" s="19">
        <f>+G53+H53</f>
        <v>0</v>
      </c>
      <c r="J53" s="19"/>
      <c r="K53" s="19"/>
      <c r="L53" s="19">
        <v>0</v>
      </c>
      <c r="M53" s="19">
        <f>+K53+L53</f>
        <v>0</v>
      </c>
      <c r="N53" s="19"/>
      <c r="O53" s="19">
        <f>+E13+I13+M13+Q13+E53+I53+M53</f>
        <v>0</v>
      </c>
      <c r="P53" s="19"/>
      <c r="Q53" s="19"/>
    </row>
    <row r="54" spans="1:17" ht="11.25">
      <c r="A54" s="10" t="str">
        <f t="shared" si="8"/>
        <v>revised</v>
      </c>
      <c r="C54" s="39">
        <f>+C52+C53</f>
        <v>-28128327.75</v>
      </c>
      <c r="D54" s="39">
        <f>+D52+D53</f>
        <v>51390706.17</v>
      </c>
      <c r="E54" s="39">
        <f>+C54+D54</f>
        <v>23262378.42</v>
      </c>
      <c r="F54" s="19"/>
      <c r="G54" s="39">
        <f>+G52+G53</f>
        <v>15901</v>
      </c>
      <c r="H54" s="39">
        <f>+H52+H53</f>
        <v>87019.42</v>
      </c>
      <c r="I54" s="39">
        <f>+G54+H54</f>
        <v>102920.42</v>
      </c>
      <c r="J54" s="19"/>
      <c r="K54" s="39">
        <f>+K52+K53</f>
        <v>-3479945.4</v>
      </c>
      <c r="L54" s="39">
        <f>+L52+L53</f>
        <v>-762218.48</v>
      </c>
      <c r="M54" s="39">
        <f>+K54+L54</f>
        <v>-4242163.88</v>
      </c>
      <c r="N54" s="19"/>
      <c r="O54" s="39">
        <f>SUM(O52:O53)</f>
        <v>87397311.22</v>
      </c>
      <c r="P54" s="19"/>
      <c r="Q54" s="19"/>
    </row>
    <row r="55" spans="1:17" ht="11.25">
      <c r="A55" s="10" t="s">
        <v>60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1.25">
      <c r="A56" s="10" t="str">
        <f t="shared" si="8"/>
        <v>January</v>
      </c>
      <c r="C56" s="19">
        <f>Load!$F$224</f>
        <v>-1642755.42</v>
      </c>
      <c r="D56" s="19">
        <f>ROUND(D$10*E54,2)</f>
        <v>138798.86</v>
      </c>
      <c r="E56" s="19">
        <f>+E54+C56+D56</f>
        <v>21758421.86</v>
      </c>
      <c r="F56" s="19"/>
      <c r="G56" s="19">
        <v>0</v>
      </c>
      <c r="H56" s="19">
        <f>ROUND(H$10*I54,2)</f>
        <v>614.09</v>
      </c>
      <c r="I56" s="19">
        <f>+I54+G56+H56</f>
        <v>103534.51</v>
      </c>
      <c r="J56" s="19"/>
      <c r="K56" s="19">
        <v>0</v>
      </c>
      <c r="L56" s="19">
        <f>ROUND(L$10*M54,2)</f>
        <v>-25311.58</v>
      </c>
      <c r="M56" s="19">
        <f>+M54+K56+L56</f>
        <v>-4267475.46</v>
      </c>
      <c r="N56" s="19"/>
      <c r="O56" s="19">
        <f aca="true" t="shared" si="9" ref="O56:O67">+E16+I16+M16+Q16+E56+I56+M56</f>
        <v>88394652.65999998</v>
      </c>
      <c r="P56" s="19"/>
      <c r="Q56" s="19"/>
    </row>
    <row r="57" spans="1:17" ht="11.25">
      <c r="A57" s="10" t="str">
        <f t="shared" si="8"/>
        <v>February</v>
      </c>
      <c r="C57" s="19">
        <f>Load!$G$224</f>
        <v>-1485391.92</v>
      </c>
      <c r="D57" s="19">
        <f>ROUND(D$10*E56,2)</f>
        <v>129825.25</v>
      </c>
      <c r="E57" s="19">
        <f>+E56+C57+D57</f>
        <v>20402855.189999998</v>
      </c>
      <c r="F57" s="19"/>
      <c r="G57" s="19">
        <v>0</v>
      </c>
      <c r="H57" s="19">
        <f>ROUND(H$10*I56,2)</f>
        <v>617.76</v>
      </c>
      <c r="I57" s="19">
        <f>+I56+G57+H57</f>
        <v>104152.26999999999</v>
      </c>
      <c r="J57" s="19"/>
      <c r="K57" s="19">
        <v>0</v>
      </c>
      <c r="L57" s="19">
        <f>ROUND(L$10*M56,2)</f>
        <v>-25462.6</v>
      </c>
      <c r="M57" s="19">
        <f>+M56+K57+L57</f>
        <v>-4292938.06</v>
      </c>
      <c r="N57" s="19"/>
      <c r="O57" s="19">
        <f t="shared" si="9"/>
        <v>90487639.16999997</v>
      </c>
      <c r="P57" s="19"/>
      <c r="Q57" s="19"/>
    </row>
    <row r="58" spans="1:17" ht="11.25">
      <c r="A58" s="10" t="str">
        <f t="shared" si="8"/>
        <v>March</v>
      </c>
      <c r="C58" s="19">
        <f>Load!$H$224</f>
        <v>-1550297.04</v>
      </c>
      <c r="D58" s="19">
        <f aca="true" t="shared" si="10" ref="D58:D67">ROUND(D$10*E57,2)</f>
        <v>121737.04</v>
      </c>
      <c r="E58" s="19">
        <f aca="true" t="shared" si="11" ref="E58:E67">+E57+C58+D58</f>
        <v>18974295.189999998</v>
      </c>
      <c r="F58" s="19"/>
      <c r="G58" s="19">
        <v>0</v>
      </c>
      <c r="H58" s="19">
        <f aca="true" t="shared" si="12" ref="H58:H67">ROUND(H$10*I57,2)</f>
        <v>621.44</v>
      </c>
      <c r="I58" s="19">
        <f aca="true" t="shared" si="13" ref="I58:I67">+I57+G58+H58</f>
        <v>104773.70999999999</v>
      </c>
      <c r="J58" s="19"/>
      <c r="K58" s="19">
        <v>0</v>
      </c>
      <c r="L58" s="19">
        <f aca="true" t="shared" si="14" ref="L58:L67">ROUND(L$10*M57,2)</f>
        <v>-25614.53</v>
      </c>
      <c r="M58" s="19">
        <f aca="true" t="shared" si="15" ref="M58:M67">+M57+K58+L58</f>
        <v>-4318552.59</v>
      </c>
      <c r="N58" s="19"/>
      <c r="O58" s="19">
        <f t="shared" si="9"/>
        <v>92010358.90999995</v>
      </c>
      <c r="P58" s="19"/>
      <c r="Q58" s="19"/>
    </row>
    <row r="59" spans="1:17" ht="11.25">
      <c r="A59" s="10" t="str">
        <f t="shared" si="8"/>
        <v>April</v>
      </c>
      <c r="C59" s="19">
        <f>Load!$I$224</f>
        <v>-1365165.12</v>
      </c>
      <c r="D59" s="19">
        <f t="shared" si="10"/>
        <v>113213.29</v>
      </c>
      <c r="E59" s="19">
        <f t="shared" si="11"/>
        <v>17722343.359999996</v>
      </c>
      <c r="F59" s="19"/>
      <c r="G59" s="19">
        <v>0</v>
      </c>
      <c r="H59" s="19">
        <f t="shared" si="12"/>
        <v>625.15</v>
      </c>
      <c r="I59" s="19">
        <f t="shared" si="13"/>
        <v>105398.85999999999</v>
      </c>
      <c r="J59" s="19"/>
      <c r="K59" s="19">
        <v>0</v>
      </c>
      <c r="L59" s="19">
        <f t="shared" si="14"/>
        <v>-25767.36</v>
      </c>
      <c r="M59" s="19">
        <f t="shared" si="15"/>
        <v>-4344319.95</v>
      </c>
      <c r="N59" s="19"/>
      <c r="O59" s="19">
        <f t="shared" si="9"/>
        <v>93656675.51999997</v>
      </c>
      <c r="P59" s="19"/>
      <c r="Q59" s="19"/>
    </row>
    <row r="60" spans="1:17" ht="11.25">
      <c r="A60" s="10" t="str">
        <f t="shared" si="8"/>
        <v>May</v>
      </c>
      <c r="C60" s="19">
        <f>Load!$J$224</f>
        <v>-1227469.98</v>
      </c>
      <c r="D60" s="19">
        <f t="shared" si="10"/>
        <v>105743.32</v>
      </c>
      <c r="E60" s="19">
        <f t="shared" si="11"/>
        <v>16600616.699999996</v>
      </c>
      <c r="F60" s="19"/>
      <c r="G60" s="19">
        <v>0</v>
      </c>
      <c r="H60" s="19">
        <f t="shared" si="12"/>
        <v>628.88</v>
      </c>
      <c r="I60" s="19">
        <f t="shared" si="13"/>
        <v>106027.73999999999</v>
      </c>
      <c r="J60" s="19"/>
      <c r="K60" s="19">
        <v>0</v>
      </c>
      <c r="L60" s="19">
        <f t="shared" si="14"/>
        <v>-25921.11</v>
      </c>
      <c r="M60" s="19">
        <f t="shared" si="15"/>
        <v>-4370241.0600000005</v>
      </c>
      <c r="N60" s="19"/>
      <c r="O60" s="19">
        <f t="shared" si="9"/>
        <v>94896335.26999994</v>
      </c>
      <c r="P60" s="19"/>
      <c r="Q60" s="19"/>
    </row>
    <row r="61" spans="1:17" ht="11.25">
      <c r="A61" s="10" t="str">
        <f t="shared" si="8"/>
        <v>June</v>
      </c>
      <c r="C61" s="19">
        <f>Load!$K$224</f>
        <v>-1153204.62</v>
      </c>
      <c r="D61" s="19">
        <f t="shared" si="10"/>
        <v>99050.35</v>
      </c>
      <c r="E61" s="19">
        <f t="shared" si="11"/>
        <v>15546462.429999994</v>
      </c>
      <c r="F61" s="19"/>
      <c r="G61" s="19">
        <v>0</v>
      </c>
      <c r="H61" s="19">
        <f t="shared" si="12"/>
        <v>632.63</v>
      </c>
      <c r="I61" s="19">
        <f t="shared" si="13"/>
        <v>106660.37</v>
      </c>
      <c r="J61" s="19"/>
      <c r="K61" s="19">
        <v>0</v>
      </c>
      <c r="L61" s="19">
        <f t="shared" si="14"/>
        <v>-26075.77</v>
      </c>
      <c r="M61" s="19">
        <f t="shared" si="15"/>
        <v>-4396316.83</v>
      </c>
      <c r="N61" s="19"/>
      <c r="O61" s="19">
        <f t="shared" si="9"/>
        <v>95591590.00999996</v>
      </c>
      <c r="P61" s="19"/>
      <c r="Q61" s="19"/>
    </row>
    <row r="62" spans="1:17" ht="11.25">
      <c r="A62" s="10" t="str">
        <f t="shared" si="8"/>
        <v>July</v>
      </c>
      <c r="C62" s="19">
        <f>Load!$L$224</f>
        <v>-1870932.4</v>
      </c>
      <c r="D62" s="19">
        <f t="shared" si="10"/>
        <v>92760.56</v>
      </c>
      <c r="E62" s="19">
        <f t="shared" si="11"/>
        <v>13768290.589999994</v>
      </c>
      <c r="F62" s="19"/>
      <c r="G62" s="19">
        <v>0</v>
      </c>
      <c r="H62" s="19">
        <f t="shared" si="12"/>
        <v>636.41</v>
      </c>
      <c r="I62" s="19">
        <f t="shared" si="13"/>
        <v>107296.78</v>
      </c>
      <c r="J62" s="19"/>
      <c r="K62" s="19">
        <v>0</v>
      </c>
      <c r="L62" s="19">
        <f t="shared" si="14"/>
        <v>-26231.36</v>
      </c>
      <c r="M62" s="19">
        <f t="shared" si="15"/>
        <v>-4422548.19</v>
      </c>
      <c r="N62" s="19"/>
      <c r="O62" s="19">
        <f t="shared" si="9"/>
        <v>94291020.76999994</v>
      </c>
      <c r="P62" s="19"/>
      <c r="Q62" s="19"/>
    </row>
    <row r="63" spans="1:17" ht="11.25">
      <c r="A63" s="10" t="str">
        <f t="shared" si="8"/>
        <v>August</v>
      </c>
      <c r="C63" s="19">
        <f>Load!$M$224</f>
        <v>-1847776.6</v>
      </c>
      <c r="D63" s="19">
        <f t="shared" si="10"/>
        <v>82150.8</v>
      </c>
      <c r="E63" s="19">
        <f t="shared" si="11"/>
        <v>12002664.789999995</v>
      </c>
      <c r="F63" s="19"/>
      <c r="G63" s="19">
        <v>0</v>
      </c>
      <c r="H63" s="19">
        <f t="shared" si="12"/>
        <v>640.2</v>
      </c>
      <c r="I63" s="19">
        <f t="shared" si="13"/>
        <v>107936.98</v>
      </c>
      <c r="J63" s="19"/>
      <c r="K63" s="19">
        <v>0</v>
      </c>
      <c r="L63" s="19">
        <f t="shared" si="14"/>
        <v>-26387.87</v>
      </c>
      <c r="M63" s="19">
        <f t="shared" si="15"/>
        <v>-4448936.0600000005</v>
      </c>
      <c r="N63" s="19"/>
      <c r="O63" s="19">
        <f t="shared" si="9"/>
        <v>93005847.25999995</v>
      </c>
      <c r="P63" s="19"/>
      <c r="Q63" s="19"/>
    </row>
    <row r="64" spans="1:17" ht="11.25">
      <c r="A64" s="10" t="str">
        <f t="shared" si="8"/>
        <v>September</v>
      </c>
      <c r="C64" s="19">
        <f>Load!$N$224</f>
        <v>-1907559.3</v>
      </c>
      <c r="D64" s="19">
        <f t="shared" si="10"/>
        <v>71615.9</v>
      </c>
      <c r="E64" s="19">
        <f t="shared" si="11"/>
        <v>10166721.389999995</v>
      </c>
      <c r="F64" s="19"/>
      <c r="G64" s="19">
        <v>0</v>
      </c>
      <c r="H64" s="19">
        <f t="shared" si="12"/>
        <v>644.02</v>
      </c>
      <c r="I64" s="19">
        <f t="shared" si="13"/>
        <v>108581</v>
      </c>
      <c r="J64" s="19"/>
      <c r="K64" s="19">
        <v>0</v>
      </c>
      <c r="L64" s="19">
        <f t="shared" si="14"/>
        <v>-26545.32</v>
      </c>
      <c r="M64" s="19">
        <f t="shared" si="15"/>
        <v>-4475481.380000001</v>
      </c>
      <c r="N64" s="19"/>
      <c r="O64" s="19">
        <f t="shared" si="9"/>
        <v>93569186.01999994</v>
      </c>
      <c r="P64" s="19"/>
      <c r="Q64" s="19"/>
    </row>
    <row r="65" spans="1:17" ht="11.25">
      <c r="A65" s="10" t="str">
        <f t="shared" si="8"/>
        <v>October</v>
      </c>
      <c r="C65" s="19">
        <f>Load!$O$224</f>
        <v>-2226694.2199999997</v>
      </c>
      <c r="D65" s="19">
        <f t="shared" si="10"/>
        <v>60661.44</v>
      </c>
      <c r="E65" s="19">
        <f t="shared" si="11"/>
        <v>8000688.609999996</v>
      </c>
      <c r="F65" s="19"/>
      <c r="G65" s="19">
        <v>0</v>
      </c>
      <c r="H65" s="19">
        <f t="shared" si="12"/>
        <v>647.87</v>
      </c>
      <c r="I65" s="19">
        <f t="shared" si="13"/>
        <v>109228.87</v>
      </c>
      <c r="J65" s="19"/>
      <c r="K65" s="19">
        <v>0</v>
      </c>
      <c r="L65" s="19">
        <f t="shared" si="14"/>
        <v>-26703.71</v>
      </c>
      <c r="M65" s="19">
        <f t="shared" si="15"/>
        <v>-4502185.090000001</v>
      </c>
      <c r="N65" s="19"/>
      <c r="O65" s="19">
        <f t="shared" si="9"/>
        <v>94600383.72999994</v>
      </c>
      <c r="P65" s="19"/>
      <c r="Q65" s="19"/>
    </row>
    <row r="66" spans="1:17" ht="11.25">
      <c r="A66" s="10" t="str">
        <f t="shared" si="8"/>
        <v>November</v>
      </c>
      <c r="C66" s="19">
        <f>Load!$P$224</f>
        <v>-2512260.7199999997</v>
      </c>
      <c r="D66" s="19">
        <f t="shared" si="10"/>
        <v>47737.44</v>
      </c>
      <c r="E66" s="19">
        <f t="shared" si="11"/>
        <v>5536165.329999996</v>
      </c>
      <c r="F66" s="19"/>
      <c r="G66" s="19">
        <v>0</v>
      </c>
      <c r="H66" s="19">
        <f t="shared" si="12"/>
        <v>651.73</v>
      </c>
      <c r="I66" s="19">
        <f t="shared" si="13"/>
        <v>109880.59999999999</v>
      </c>
      <c r="J66" s="19"/>
      <c r="K66" s="19">
        <v>0</v>
      </c>
      <c r="L66" s="19">
        <f t="shared" si="14"/>
        <v>-26863.04</v>
      </c>
      <c r="M66" s="19">
        <f t="shared" si="15"/>
        <v>-4529048.130000001</v>
      </c>
      <c r="N66" s="19"/>
      <c r="O66" s="19">
        <f t="shared" si="9"/>
        <v>96000986.7399999</v>
      </c>
      <c r="P66" s="19"/>
      <c r="Q66" s="19"/>
    </row>
    <row r="67" spans="1:17" ht="11.25">
      <c r="A67" s="10" t="str">
        <f t="shared" si="8"/>
        <v>December</v>
      </c>
      <c r="C67" s="19">
        <f>Load!$Q$224</f>
        <v>-2973285.26</v>
      </c>
      <c r="D67" s="19">
        <f t="shared" si="10"/>
        <v>33032.45</v>
      </c>
      <c r="E67" s="19">
        <f t="shared" si="11"/>
        <v>2595912.5199999968</v>
      </c>
      <c r="F67" s="19"/>
      <c r="G67" s="19">
        <v>0</v>
      </c>
      <c r="H67" s="19">
        <f t="shared" si="12"/>
        <v>655.62</v>
      </c>
      <c r="I67" s="19">
        <f t="shared" si="13"/>
        <v>110536.21999999999</v>
      </c>
      <c r="J67" s="19"/>
      <c r="K67" s="19">
        <v>0</v>
      </c>
      <c r="L67" s="19">
        <f t="shared" si="14"/>
        <v>-27023.32</v>
      </c>
      <c r="M67" s="19">
        <f t="shared" si="15"/>
        <v>-4556071.450000001</v>
      </c>
      <c r="N67" s="19"/>
      <c r="O67" s="19">
        <f t="shared" si="9"/>
        <v>97771023.4099999</v>
      </c>
      <c r="P67" s="19"/>
      <c r="Q67" s="19"/>
    </row>
    <row r="68" spans="1:17" ht="11.25">
      <c r="A68" s="10" t="s">
        <v>60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1.25">
      <c r="A69" s="10" t="s">
        <v>60</v>
      </c>
      <c r="C69" s="40">
        <f>SUM(C56:C68)</f>
        <v>-21762792.6</v>
      </c>
      <c r="D69" s="40">
        <f>SUM(D56:D68)</f>
        <v>1096326.7</v>
      </c>
      <c r="E69" s="40">
        <f>C69+D69</f>
        <v>-20666465.900000002</v>
      </c>
      <c r="F69" s="19"/>
      <c r="G69" s="40">
        <f>SUM(G56:G68)</f>
        <v>0</v>
      </c>
      <c r="H69" s="40">
        <f>SUM(H56:H68)</f>
        <v>7615.8</v>
      </c>
      <c r="I69" s="40">
        <f>G69+H69</f>
        <v>7615.8</v>
      </c>
      <c r="J69" s="19"/>
      <c r="K69" s="40">
        <f>SUM(K56:K68)</f>
        <v>0</v>
      </c>
      <c r="L69" s="40">
        <f>SUM(L56:L68)</f>
        <v>-313907.57</v>
      </c>
      <c r="M69" s="40">
        <f>K69+L69</f>
        <v>-313907.57</v>
      </c>
      <c r="N69" s="19"/>
      <c r="O69" s="40">
        <f>+E29+I29+M29+Q29+E69+I69+M69</f>
        <v>10373712.189999994</v>
      </c>
      <c r="P69" s="19"/>
      <c r="Q69" s="19"/>
    </row>
    <row r="70" spans="3:17" ht="11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3:17" ht="12" thickBot="1">
      <c r="C71" s="41">
        <f>+C54+C69</f>
        <v>-49891120.35</v>
      </c>
      <c r="D71" s="41">
        <f>+D54+D69</f>
        <v>52487032.870000005</v>
      </c>
      <c r="E71" s="41">
        <f>SUM(C71:D71)</f>
        <v>2595912.5200000033</v>
      </c>
      <c r="F71" s="19"/>
      <c r="G71" s="41">
        <f>+G54+G69</f>
        <v>15901</v>
      </c>
      <c r="H71" s="41">
        <f>+H54+H69</f>
        <v>94635.22</v>
      </c>
      <c r="I71" s="41">
        <f>SUM(G71:H71)</f>
        <v>110536.22</v>
      </c>
      <c r="J71" s="19"/>
      <c r="K71" s="41">
        <f>+K54+K69</f>
        <v>-3479945.4</v>
      </c>
      <c r="L71" s="41">
        <f>+L54+L69</f>
        <v>-1076126.05</v>
      </c>
      <c r="M71" s="41">
        <f>SUM(K71:L71)</f>
        <v>-4556071.45</v>
      </c>
      <c r="N71" s="19"/>
      <c r="O71" s="46">
        <f>+E31+I31+M31+Q31+E71+I71+M71</f>
        <v>97771023.41000001</v>
      </c>
      <c r="P71" s="19"/>
      <c r="Q71" s="19"/>
    </row>
    <row r="72" ht="12" thickTop="1"/>
    <row r="76" ht="11.25">
      <c r="K76" s="5"/>
    </row>
    <row r="78" spans="12:13" ht="11.25">
      <c r="L78" s="2"/>
      <c r="M78" s="3"/>
    </row>
    <row r="80" ht="11.25">
      <c r="K80" s="5"/>
    </row>
  </sheetData>
  <printOptions verticalCentered="1"/>
  <pageMargins left="0.5" right="0.5" top="1" bottom="1" header="0.5" footer="0.5"/>
  <pageSetup horizontalDpi="600" verticalDpi="600" orientation="landscape" scale="6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D9" sqref="D9"/>
    </sheetView>
  </sheetViews>
  <sheetFormatPr defaultColWidth="9.140625" defaultRowHeight="12.75"/>
  <cols>
    <col min="1" max="1" width="9.7109375" style="5" customWidth="1"/>
    <col min="2" max="2" width="4.7109375" style="5" customWidth="1"/>
    <col min="3" max="8" width="7.7109375" style="5" customWidth="1"/>
    <col min="9" max="9" width="9.7109375" style="5" customWidth="1"/>
    <col min="10" max="10" width="3.7109375" style="5" customWidth="1"/>
    <col min="11" max="16" width="7.7109375" style="5" customWidth="1"/>
    <col min="17" max="17" width="9.7109375" style="5" customWidth="1"/>
    <col min="18" max="18" width="3.7109375" style="5" customWidth="1"/>
    <col min="19" max="19" width="8.7109375" style="5" customWidth="1"/>
    <col min="20" max="21" width="9.140625" style="5" customWidth="1"/>
    <col min="22" max="22" width="12.7109375" style="5" customWidth="1"/>
    <col min="23" max="16384" width="9.140625" style="5" customWidth="1"/>
  </cols>
  <sheetData>
    <row r="1" spans="1:22" ht="11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1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1.25">
      <c r="A3" s="13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1.25">
      <c r="A4" s="13" t="str">
        <f>Summary!$A$4</f>
        <v>PUB    2002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6" spans="2:8" ht="11.25">
      <c r="B6" s="15"/>
      <c r="C6" s="15"/>
      <c r="D6" s="15"/>
      <c r="E6" s="15"/>
      <c r="F6" s="15"/>
      <c r="G6" s="15"/>
      <c r="H6" s="15"/>
    </row>
    <row r="7" spans="2:8" ht="11.25">
      <c r="B7" s="15"/>
      <c r="C7" s="15"/>
      <c r="D7" s="15"/>
      <c r="E7" s="15"/>
      <c r="F7" s="15"/>
      <c r="G7" s="15"/>
      <c r="H7" s="15"/>
    </row>
    <row r="10" spans="3:17" ht="11.25">
      <c r="C10" s="16" t="s">
        <v>16</v>
      </c>
      <c r="D10" s="16"/>
      <c r="E10" s="17"/>
      <c r="F10" s="17"/>
      <c r="G10" s="17"/>
      <c r="H10" s="17"/>
      <c r="I10" s="17"/>
      <c r="K10" s="16" t="s">
        <v>16</v>
      </c>
      <c r="L10" s="16"/>
      <c r="M10" s="17"/>
      <c r="N10" s="17"/>
      <c r="O10" s="17"/>
      <c r="P10" s="17"/>
      <c r="Q10" s="17"/>
    </row>
    <row r="11" spans="3:17" ht="11.25">
      <c r="C11" s="16" t="s">
        <v>110</v>
      </c>
      <c r="D11" s="16"/>
      <c r="E11" s="17"/>
      <c r="F11" s="17"/>
      <c r="G11" s="17"/>
      <c r="H11" s="17"/>
      <c r="I11" s="17"/>
      <c r="K11" s="16" t="s">
        <v>111</v>
      </c>
      <c r="L11" s="16"/>
      <c r="M11" s="17"/>
      <c r="N11" s="17"/>
      <c r="O11" s="17"/>
      <c r="P11" s="17"/>
      <c r="Q11" s="17"/>
    </row>
    <row r="12" spans="3:22" ht="11.25"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S12" s="6" t="s">
        <v>23</v>
      </c>
      <c r="T12" s="6" t="s">
        <v>25</v>
      </c>
      <c r="U12" s="6" t="s">
        <v>27</v>
      </c>
      <c r="V12" s="6"/>
    </row>
    <row r="13" spans="3:22" ht="11.25">
      <c r="C13" s="18" t="s">
        <v>17</v>
      </c>
      <c r="D13" s="18" t="s">
        <v>18</v>
      </c>
      <c r="E13" s="18" t="s">
        <v>19</v>
      </c>
      <c r="F13" s="18" t="s">
        <v>20</v>
      </c>
      <c r="G13" s="18" t="s">
        <v>113</v>
      </c>
      <c r="H13" s="18" t="s">
        <v>21</v>
      </c>
      <c r="I13" s="18" t="s">
        <v>22</v>
      </c>
      <c r="K13" s="18" t="s">
        <v>17</v>
      </c>
      <c r="L13" s="18" t="s">
        <v>18</v>
      </c>
      <c r="M13" s="18" t="s">
        <v>19</v>
      </c>
      <c r="N13" s="18" t="s">
        <v>20</v>
      </c>
      <c r="O13" s="18" t="s">
        <v>113</v>
      </c>
      <c r="P13" s="18" t="s">
        <v>21</v>
      </c>
      <c r="Q13" s="18" t="s">
        <v>22</v>
      </c>
      <c r="S13" s="18" t="s">
        <v>24</v>
      </c>
      <c r="T13" s="18" t="s">
        <v>26</v>
      </c>
      <c r="U13" s="18" t="s">
        <v>28</v>
      </c>
      <c r="V13" s="6" t="s">
        <v>29</v>
      </c>
    </row>
    <row r="15" spans="1:22" ht="11.25">
      <c r="A15" s="5" t="s">
        <v>3</v>
      </c>
      <c r="C15" s="33">
        <v>255.75</v>
      </c>
      <c r="D15" s="33">
        <v>45.32</v>
      </c>
      <c r="E15" s="33">
        <v>54.34</v>
      </c>
      <c r="F15" s="33">
        <v>50.87</v>
      </c>
      <c r="G15" s="33">
        <v>0.51</v>
      </c>
      <c r="H15" s="33">
        <v>3.62</v>
      </c>
      <c r="I15" s="33">
        <f aca="true" t="shared" si="0" ref="I15:I26">SUM(C15:H15)</f>
        <v>410.40999999999997</v>
      </c>
      <c r="J15" s="10"/>
      <c r="K15" s="33">
        <v>255.75</v>
      </c>
      <c r="L15" s="33">
        <v>45.32</v>
      </c>
      <c r="M15" s="33">
        <v>54.34</v>
      </c>
      <c r="N15" s="33">
        <v>50.87</v>
      </c>
      <c r="O15" s="33">
        <v>0.51</v>
      </c>
      <c r="P15" s="33">
        <v>3.62</v>
      </c>
      <c r="Q15" s="33">
        <f aca="true" t="shared" si="1" ref="Q15:Q26">SUM(K15:P15)</f>
        <v>410.40999999999997</v>
      </c>
      <c r="R15" s="10"/>
      <c r="S15" s="10">
        <f>+I15-Q15</f>
        <v>0</v>
      </c>
      <c r="T15" s="61">
        <v>0.00061</v>
      </c>
      <c r="U15" s="9">
        <f>Fuel!K12</f>
        <v>24.33</v>
      </c>
      <c r="V15" s="10">
        <f>+ROUND(-S15/T15*U15,2)</f>
        <v>0</v>
      </c>
    </row>
    <row r="16" spans="1:22" ht="11.25">
      <c r="A16" s="5" t="s">
        <v>4</v>
      </c>
      <c r="C16" s="33">
        <v>222.25</v>
      </c>
      <c r="D16" s="33">
        <v>39.4</v>
      </c>
      <c r="E16" s="33">
        <v>47.22</v>
      </c>
      <c r="F16" s="33">
        <v>55.65</v>
      </c>
      <c r="G16" s="33">
        <v>0.46</v>
      </c>
      <c r="H16" s="33">
        <v>3.14</v>
      </c>
      <c r="I16" s="33">
        <f t="shared" si="0"/>
        <v>368.11999999999995</v>
      </c>
      <c r="J16" s="10"/>
      <c r="K16" s="33">
        <v>222.25</v>
      </c>
      <c r="L16" s="33">
        <v>39.4</v>
      </c>
      <c r="M16" s="33">
        <v>47.22</v>
      </c>
      <c r="N16" s="33">
        <v>55.65</v>
      </c>
      <c r="O16" s="33">
        <v>0.46</v>
      </c>
      <c r="P16" s="33">
        <v>3.14</v>
      </c>
      <c r="Q16" s="33">
        <f t="shared" si="1"/>
        <v>368.11999999999995</v>
      </c>
      <c r="R16" s="10"/>
      <c r="S16" s="10">
        <f aca="true" t="shared" si="2" ref="S16:S26">+I16-Q16</f>
        <v>0</v>
      </c>
      <c r="T16" s="61">
        <v>0.00061</v>
      </c>
      <c r="U16" s="9">
        <f>Fuel!K13</f>
        <v>21.7</v>
      </c>
      <c r="V16" s="10">
        <f aca="true" t="shared" si="3" ref="V16:V26">+ROUND(-S16/T16*U16,2)</f>
        <v>0</v>
      </c>
    </row>
    <row r="17" spans="1:22" ht="11.25">
      <c r="A17" s="5" t="s">
        <v>5</v>
      </c>
      <c r="C17" s="33">
        <v>253.55</v>
      </c>
      <c r="D17" s="33">
        <v>35.46</v>
      </c>
      <c r="E17" s="33">
        <v>53.87</v>
      </c>
      <c r="F17" s="33">
        <v>79.47</v>
      </c>
      <c r="G17" s="33">
        <v>0.5</v>
      </c>
      <c r="H17" s="33">
        <v>4.01</v>
      </c>
      <c r="I17" s="33">
        <f t="shared" si="0"/>
        <v>426.86</v>
      </c>
      <c r="J17" s="10"/>
      <c r="K17" s="33">
        <v>253.55</v>
      </c>
      <c r="L17" s="33">
        <v>35.46</v>
      </c>
      <c r="M17" s="33">
        <v>53.87</v>
      </c>
      <c r="N17" s="33">
        <v>79.47</v>
      </c>
      <c r="O17" s="33">
        <v>0.5</v>
      </c>
      <c r="P17" s="33">
        <v>4.01</v>
      </c>
      <c r="Q17" s="33">
        <f t="shared" si="1"/>
        <v>426.86</v>
      </c>
      <c r="R17" s="10"/>
      <c r="S17" s="10">
        <f t="shared" si="2"/>
        <v>0</v>
      </c>
      <c r="T17" s="61">
        <v>0.00061</v>
      </c>
      <c r="U17" s="9">
        <f>Fuel!K14</f>
        <v>21.7</v>
      </c>
      <c r="V17" s="10">
        <f t="shared" si="3"/>
        <v>0</v>
      </c>
    </row>
    <row r="18" spans="1:22" ht="11.25">
      <c r="A18" s="5" t="s">
        <v>6</v>
      </c>
      <c r="C18" s="33">
        <v>221.58</v>
      </c>
      <c r="D18" s="33">
        <v>22.68</v>
      </c>
      <c r="E18" s="33">
        <v>47.08</v>
      </c>
      <c r="F18" s="33">
        <v>56.75</v>
      </c>
      <c r="G18" s="33">
        <v>0.65</v>
      </c>
      <c r="H18" s="33">
        <v>5.09</v>
      </c>
      <c r="I18" s="33">
        <f t="shared" si="0"/>
        <v>353.83</v>
      </c>
      <c r="J18" s="10"/>
      <c r="K18" s="33">
        <v>221.58</v>
      </c>
      <c r="L18" s="33">
        <v>22.68</v>
      </c>
      <c r="M18" s="33">
        <v>47.08</v>
      </c>
      <c r="N18" s="33">
        <v>56.75</v>
      </c>
      <c r="O18" s="33">
        <v>0.65</v>
      </c>
      <c r="P18" s="33">
        <v>5.09</v>
      </c>
      <c r="Q18" s="33">
        <f t="shared" si="1"/>
        <v>353.83</v>
      </c>
      <c r="R18" s="10"/>
      <c r="S18" s="10">
        <f t="shared" si="2"/>
        <v>0</v>
      </c>
      <c r="T18" s="61">
        <v>0.00061</v>
      </c>
      <c r="U18" s="9">
        <f>Fuel!K15</f>
        <v>20.77</v>
      </c>
      <c r="V18" s="10">
        <f t="shared" si="3"/>
        <v>0</v>
      </c>
    </row>
    <row r="19" spans="1:22" ht="11.25">
      <c r="A19" s="5" t="s">
        <v>7</v>
      </c>
      <c r="C19" s="33">
        <v>184.48</v>
      </c>
      <c r="D19" s="33">
        <v>23.66</v>
      </c>
      <c r="E19" s="33">
        <v>39.2</v>
      </c>
      <c r="F19" s="33">
        <v>79.47</v>
      </c>
      <c r="G19" s="33">
        <v>0.86</v>
      </c>
      <c r="H19" s="33">
        <v>4.23</v>
      </c>
      <c r="I19" s="33">
        <f t="shared" si="0"/>
        <v>331.9</v>
      </c>
      <c r="J19" s="10"/>
      <c r="K19" s="33">
        <v>184.48</v>
      </c>
      <c r="L19" s="33">
        <v>23.66</v>
      </c>
      <c r="M19" s="33">
        <v>39.2</v>
      </c>
      <c r="N19" s="33">
        <v>79.47</v>
      </c>
      <c r="O19" s="33">
        <v>0.86</v>
      </c>
      <c r="P19" s="33">
        <v>4.23</v>
      </c>
      <c r="Q19" s="33">
        <f t="shared" si="1"/>
        <v>331.9</v>
      </c>
      <c r="R19" s="10"/>
      <c r="S19" s="10">
        <f t="shared" si="2"/>
        <v>0</v>
      </c>
      <c r="T19" s="61">
        <v>0.00061</v>
      </c>
      <c r="U19" s="9">
        <f>Fuel!K16</f>
        <v>20.77</v>
      </c>
      <c r="V19" s="10">
        <f t="shared" si="3"/>
        <v>0</v>
      </c>
    </row>
    <row r="20" spans="1:22" ht="11.25">
      <c r="A20" s="5" t="s">
        <v>8</v>
      </c>
      <c r="C20" s="33">
        <v>187.89</v>
      </c>
      <c r="D20" s="33">
        <v>22.68</v>
      </c>
      <c r="E20" s="33">
        <v>39.92</v>
      </c>
      <c r="F20" s="33">
        <v>76.16</v>
      </c>
      <c r="G20" s="33">
        <v>0.75</v>
      </c>
      <c r="H20" s="33">
        <v>2.18</v>
      </c>
      <c r="I20" s="33">
        <f t="shared" si="0"/>
        <v>329.58</v>
      </c>
      <c r="J20" s="10"/>
      <c r="K20" s="33">
        <v>187.89</v>
      </c>
      <c r="L20" s="33">
        <v>22.68</v>
      </c>
      <c r="M20" s="33">
        <v>39.92</v>
      </c>
      <c r="N20" s="33">
        <v>76.16</v>
      </c>
      <c r="O20" s="33">
        <v>0.75</v>
      </c>
      <c r="P20" s="33">
        <v>2.18</v>
      </c>
      <c r="Q20" s="33">
        <f t="shared" si="1"/>
        <v>329.58</v>
      </c>
      <c r="R20" s="10"/>
      <c r="S20" s="10">
        <f t="shared" si="2"/>
        <v>0</v>
      </c>
      <c r="T20" s="61">
        <v>0.00061</v>
      </c>
      <c r="U20" s="9">
        <f>Fuel!K17</f>
        <v>20.44</v>
      </c>
      <c r="V20" s="10">
        <f t="shared" si="3"/>
        <v>0</v>
      </c>
    </row>
    <row r="21" spans="1:22" ht="11.25">
      <c r="A21" s="5" t="s">
        <v>9</v>
      </c>
      <c r="C21" s="33">
        <v>277.69</v>
      </c>
      <c r="D21" s="33">
        <v>19.72</v>
      </c>
      <c r="E21" s="33">
        <v>59</v>
      </c>
      <c r="F21" s="33">
        <v>49.48</v>
      </c>
      <c r="G21" s="33">
        <v>0.66</v>
      </c>
      <c r="H21" s="33">
        <v>1.5</v>
      </c>
      <c r="I21" s="33">
        <f t="shared" si="0"/>
        <v>408.05</v>
      </c>
      <c r="J21" s="10"/>
      <c r="K21" s="33">
        <v>277.69</v>
      </c>
      <c r="L21" s="33">
        <v>19.72</v>
      </c>
      <c r="M21" s="33">
        <v>59</v>
      </c>
      <c r="N21" s="33">
        <v>49.48</v>
      </c>
      <c r="O21" s="33">
        <v>0.66</v>
      </c>
      <c r="P21" s="33">
        <v>1.5</v>
      </c>
      <c r="Q21" s="33">
        <f t="shared" si="1"/>
        <v>408.05</v>
      </c>
      <c r="R21" s="10"/>
      <c r="S21" s="10">
        <f t="shared" si="2"/>
        <v>0</v>
      </c>
      <c r="T21" s="61">
        <v>0.00061</v>
      </c>
      <c r="U21" s="9">
        <f>Fuel!K18</f>
        <v>20.44</v>
      </c>
      <c r="V21" s="10">
        <f t="shared" si="3"/>
        <v>0</v>
      </c>
    </row>
    <row r="22" spans="1:22" ht="11.25">
      <c r="A22" s="5" t="s">
        <v>10</v>
      </c>
      <c r="C22" s="33">
        <v>271.45</v>
      </c>
      <c r="D22" s="33">
        <v>15.77</v>
      </c>
      <c r="E22" s="33">
        <v>57.67</v>
      </c>
      <c r="F22" s="33">
        <v>54.4</v>
      </c>
      <c r="G22" s="33">
        <v>0.6</v>
      </c>
      <c r="H22" s="33">
        <v>1.64</v>
      </c>
      <c r="I22" s="33">
        <f t="shared" si="0"/>
        <v>401.53</v>
      </c>
      <c r="J22" s="10"/>
      <c r="K22" s="33">
        <v>271.45</v>
      </c>
      <c r="L22" s="33">
        <v>15.77</v>
      </c>
      <c r="M22" s="33">
        <v>57.67</v>
      </c>
      <c r="N22" s="33">
        <v>54.4</v>
      </c>
      <c r="O22" s="33">
        <v>0.6</v>
      </c>
      <c r="P22" s="33">
        <v>1.64</v>
      </c>
      <c r="Q22" s="33">
        <f t="shared" si="1"/>
        <v>401.53</v>
      </c>
      <c r="R22" s="10"/>
      <c r="S22" s="10">
        <f t="shared" si="2"/>
        <v>0</v>
      </c>
      <c r="T22" s="61">
        <v>0.00061</v>
      </c>
      <c r="U22" s="9">
        <f>Fuel!K19</f>
        <v>20.44</v>
      </c>
      <c r="V22" s="10">
        <f t="shared" si="3"/>
        <v>0</v>
      </c>
    </row>
    <row r="23" spans="1:22" ht="11.25">
      <c r="A23" s="5" t="s">
        <v>11</v>
      </c>
      <c r="C23" s="33">
        <v>155.25</v>
      </c>
      <c r="D23" s="33">
        <v>17.75</v>
      </c>
      <c r="E23" s="33">
        <v>32.99</v>
      </c>
      <c r="F23" s="33">
        <v>64.91</v>
      </c>
      <c r="G23" s="33">
        <v>0.56</v>
      </c>
      <c r="H23" s="33">
        <v>2</v>
      </c>
      <c r="I23" s="33">
        <f t="shared" si="0"/>
        <v>273.46</v>
      </c>
      <c r="J23" s="10"/>
      <c r="K23" s="33">
        <v>155.25</v>
      </c>
      <c r="L23" s="33">
        <v>17.75</v>
      </c>
      <c r="M23" s="33">
        <v>32.99</v>
      </c>
      <c r="N23" s="33">
        <v>64.91</v>
      </c>
      <c r="O23" s="33">
        <v>0.56</v>
      </c>
      <c r="P23" s="33">
        <v>2</v>
      </c>
      <c r="Q23" s="33">
        <f t="shared" si="1"/>
        <v>273.46</v>
      </c>
      <c r="R23" s="10"/>
      <c r="S23" s="10">
        <f t="shared" si="2"/>
        <v>0</v>
      </c>
      <c r="T23" s="61">
        <v>0.00061</v>
      </c>
      <c r="U23" s="9">
        <f>Fuel!K20</f>
        <v>20.28</v>
      </c>
      <c r="V23" s="10">
        <f t="shared" si="3"/>
        <v>0</v>
      </c>
    </row>
    <row r="24" spans="1:22" ht="11.25">
      <c r="A24" s="5" t="s">
        <v>12</v>
      </c>
      <c r="C24" s="33">
        <v>167.11</v>
      </c>
      <c r="D24" s="33">
        <v>28.59</v>
      </c>
      <c r="E24" s="33">
        <v>35.5</v>
      </c>
      <c r="F24" s="33">
        <v>55.65</v>
      </c>
      <c r="G24" s="33">
        <v>0.63</v>
      </c>
      <c r="H24" s="33">
        <v>3.37</v>
      </c>
      <c r="I24" s="33">
        <f t="shared" si="0"/>
        <v>290.85</v>
      </c>
      <c r="J24" s="10"/>
      <c r="K24" s="33">
        <v>167.11</v>
      </c>
      <c r="L24" s="33">
        <v>28.59</v>
      </c>
      <c r="M24" s="33">
        <v>35.5</v>
      </c>
      <c r="N24" s="33">
        <v>55.65</v>
      </c>
      <c r="O24" s="33">
        <v>0.63</v>
      </c>
      <c r="P24" s="33">
        <v>3.37</v>
      </c>
      <c r="Q24" s="33">
        <f t="shared" si="1"/>
        <v>290.85</v>
      </c>
      <c r="R24" s="10"/>
      <c r="S24" s="10">
        <f t="shared" si="2"/>
        <v>0</v>
      </c>
      <c r="T24" s="61">
        <v>0.00061</v>
      </c>
      <c r="U24" s="9">
        <f>Fuel!K21</f>
        <v>20.18</v>
      </c>
      <c r="V24" s="10">
        <f t="shared" si="3"/>
        <v>0</v>
      </c>
    </row>
    <row r="25" spans="1:22" ht="11.25">
      <c r="A25" s="5" t="s">
        <v>13</v>
      </c>
      <c r="C25" s="33">
        <v>178.85</v>
      </c>
      <c r="D25" s="33">
        <v>33.52</v>
      </c>
      <c r="E25" s="33">
        <v>38</v>
      </c>
      <c r="F25" s="33">
        <v>59.03</v>
      </c>
      <c r="G25" s="33">
        <v>0.59</v>
      </c>
      <c r="H25" s="33">
        <v>4.31</v>
      </c>
      <c r="I25" s="33">
        <f t="shared" si="0"/>
        <v>314.29999999999995</v>
      </c>
      <c r="J25" s="10"/>
      <c r="K25" s="33">
        <v>178.85</v>
      </c>
      <c r="L25" s="33">
        <v>33.52</v>
      </c>
      <c r="M25" s="33">
        <v>38</v>
      </c>
      <c r="N25" s="33">
        <v>59.03</v>
      </c>
      <c r="O25" s="33">
        <v>0.59</v>
      </c>
      <c r="P25" s="33">
        <v>4.31</v>
      </c>
      <c r="Q25" s="33">
        <f t="shared" si="1"/>
        <v>314.29999999999995</v>
      </c>
      <c r="R25" s="10"/>
      <c r="S25" s="10">
        <f t="shared" si="2"/>
        <v>0</v>
      </c>
      <c r="T25" s="61">
        <v>0.00061</v>
      </c>
      <c r="U25" s="9">
        <f>Fuel!K22</f>
        <v>20.07</v>
      </c>
      <c r="V25" s="10">
        <f t="shared" si="3"/>
        <v>0</v>
      </c>
    </row>
    <row r="26" spans="1:22" ht="11.25">
      <c r="A26" s="5" t="s">
        <v>14</v>
      </c>
      <c r="C26" s="34">
        <v>222.15</v>
      </c>
      <c r="D26" s="34">
        <v>35.45</v>
      </c>
      <c r="E26" s="34">
        <v>47.21</v>
      </c>
      <c r="F26" s="34">
        <v>53.16</v>
      </c>
      <c r="G26" s="34">
        <v>0.54</v>
      </c>
      <c r="H26" s="34">
        <v>4.28</v>
      </c>
      <c r="I26" s="34">
        <f t="shared" si="0"/>
        <v>362.79</v>
      </c>
      <c r="J26" s="10"/>
      <c r="K26" s="34">
        <v>222.15</v>
      </c>
      <c r="L26" s="34">
        <v>35.45</v>
      </c>
      <c r="M26" s="34">
        <v>47.21</v>
      </c>
      <c r="N26" s="34">
        <v>53.16</v>
      </c>
      <c r="O26" s="34">
        <v>0.54</v>
      </c>
      <c r="P26" s="34">
        <v>4.28</v>
      </c>
      <c r="Q26" s="34">
        <f t="shared" si="1"/>
        <v>362.79</v>
      </c>
      <c r="R26" s="10"/>
      <c r="S26" s="10">
        <f t="shared" si="2"/>
        <v>0</v>
      </c>
      <c r="T26" s="61">
        <v>0.00061</v>
      </c>
      <c r="U26" s="9">
        <f>Fuel!K23</f>
        <v>20.03</v>
      </c>
      <c r="V26" s="10">
        <f t="shared" si="3"/>
        <v>0</v>
      </c>
    </row>
    <row r="27" spans="3:21" ht="11.25">
      <c r="C27" s="33"/>
      <c r="D27" s="33"/>
      <c r="E27" s="33"/>
      <c r="F27" s="33"/>
      <c r="G27" s="33"/>
      <c r="H27" s="33"/>
      <c r="I27" s="33"/>
      <c r="J27" s="10"/>
      <c r="K27" s="33"/>
      <c r="L27" s="33"/>
      <c r="M27" s="33"/>
      <c r="N27" s="33"/>
      <c r="O27" s="33"/>
      <c r="P27" s="33"/>
      <c r="Q27" s="33"/>
      <c r="R27" s="10"/>
      <c r="S27" s="10"/>
      <c r="U27" s="9"/>
    </row>
    <row r="28" spans="3:22" ht="12" thickBot="1">
      <c r="C28" s="35">
        <f aca="true" t="shared" si="4" ref="C28:I28">SUM(C15:C26)</f>
        <v>2598</v>
      </c>
      <c r="D28" s="35">
        <f t="shared" si="4"/>
        <v>340</v>
      </c>
      <c r="E28" s="35">
        <f t="shared" si="4"/>
        <v>552</v>
      </c>
      <c r="F28" s="35">
        <f t="shared" si="4"/>
        <v>734.9999999999999</v>
      </c>
      <c r="G28" s="35">
        <f t="shared" si="4"/>
        <v>7.309999999999999</v>
      </c>
      <c r="H28" s="35">
        <f t="shared" si="4"/>
        <v>39.370000000000005</v>
      </c>
      <c r="I28" s="35">
        <f t="shared" si="4"/>
        <v>4271.679999999999</v>
      </c>
      <c r="J28" s="10"/>
      <c r="K28" s="35">
        <f aca="true" t="shared" si="5" ref="K28:Q28">SUM(K15:K26)</f>
        <v>2598</v>
      </c>
      <c r="L28" s="35">
        <f t="shared" si="5"/>
        <v>340</v>
      </c>
      <c r="M28" s="35">
        <f t="shared" si="5"/>
        <v>552</v>
      </c>
      <c r="N28" s="35">
        <f t="shared" si="5"/>
        <v>734.9999999999999</v>
      </c>
      <c r="O28" s="35">
        <f t="shared" si="5"/>
        <v>7.309999999999999</v>
      </c>
      <c r="P28" s="35">
        <f t="shared" si="5"/>
        <v>39.370000000000005</v>
      </c>
      <c r="Q28" s="35">
        <f t="shared" si="5"/>
        <v>4271.679999999999</v>
      </c>
      <c r="R28" s="10"/>
      <c r="S28" s="11">
        <f>SUM(S15:S27)</f>
        <v>0</v>
      </c>
      <c r="V28" s="11">
        <f>SUM(V15:V27)</f>
        <v>0</v>
      </c>
    </row>
    <row r="29" spans="3:19" ht="12" thickTop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3:19" ht="11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3:19" ht="11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ht="11.25">
      <c r="C32" s="19"/>
    </row>
    <row r="37" ht="11.25">
      <c r="A37" s="1"/>
    </row>
    <row r="38" spans="1:3" ht="11.25">
      <c r="A38" s="2"/>
      <c r="C38" s="3"/>
    </row>
  </sheetData>
  <printOptions verticalCentered="1"/>
  <pageMargins left="0.5" right="0.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N9">
      <selection activeCell="Q33" sqref="Q33"/>
    </sheetView>
  </sheetViews>
  <sheetFormatPr defaultColWidth="9.140625" defaultRowHeight="12.75"/>
  <cols>
    <col min="1" max="1" width="9.140625" style="5" customWidth="1"/>
    <col min="2" max="4" width="12.7109375" style="5" customWidth="1"/>
    <col min="5" max="7" width="9.7109375" style="5" customWidth="1"/>
    <col min="8" max="9" width="12.7109375" style="5" customWidth="1"/>
    <col min="10" max="14" width="9.7109375" style="5" customWidth="1"/>
    <col min="15" max="15" width="3.7109375" style="5" customWidth="1"/>
    <col min="16" max="16" width="12.7109375" style="5" customWidth="1"/>
    <col min="17" max="17" width="11.28125" style="5" customWidth="1"/>
    <col min="18" max="19" width="9.7109375" style="5" customWidth="1"/>
    <col min="20" max="20" width="12.7109375" style="5" customWidth="1"/>
    <col min="21" max="16384" width="9.140625" style="5" customWidth="1"/>
  </cols>
  <sheetData>
    <row r="1" spans="1:21" ht="11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5" t="s">
        <v>105</v>
      </c>
    </row>
    <row r="2" spans="1:20" ht="11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1.25">
      <c r="A3" s="13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1.25">
      <c r="A4" s="13" t="str">
        <f>Summary!$A$4</f>
        <v>PUB    2002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7" spans="2:25" ht="11.25">
      <c r="B7" s="6">
        <v>2002</v>
      </c>
      <c r="C7" s="7" t="s">
        <v>108</v>
      </c>
      <c r="D7" s="6" t="s">
        <v>31</v>
      </c>
      <c r="E7" s="6"/>
      <c r="F7" s="6" t="s">
        <v>32</v>
      </c>
      <c r="G7" s="6" t="s">
        <v>33</v>
      </c>
      <c r="H7" s="6"/>
      <c r="I7" s="6" t="s">
        <v>23</v>
      </c>
      <c r="J7" s="6">
        <v>2002</v>
      </c>
      <c r="K7" s="6" t="s">
        <v>34</v>
      </c>
      <c r="L7" s="6"/>
      <c r="M7" s="6" t="s">
        <v>35</v>
      </c>
      <c r="N7" s="6" t="s">
        <v>35</v>
      </c>
      <c r="O7" s="6"/>
      <c r="P7" s="6" t="s">
        <v>36</v>
      </c>
      <c r="Q7" s="6"/>
      <c r="R7" s="6" t="s">
        <v>32</v>
      </c>
      <c r="S7" s="6" t="s">
        <v>33</v>
      </c>
      <c r="T7" s="6"/>
      <c r="U7" s="6"/>
      <c r="V7" s="6"/>
      <c r="W7" s="6"/>
      <c r="X7" s="6"/>
      <c r="Y7" s="6"/>
    </row>
    <row r="8" spans="2:25" ht="11.25">
      <c r="B8" s="6" t="s">
        <v>27</v>
      </c>
      <c r="C8" s="6" t="s">
        <v>109</v>
      </c>
      <c r="D8" s="6" t="s">
        <v>37</v>
      </c>
      <c r="E8" s="6" t="s">
        <v>115</v>
      </c>
      <c r="F8" s="6" t="s">
        <v>38</v>
      </c>
      <c r="G8" s="6" t="s">
        <v>39</v>
      </c>
      <c r="H8" s="6" t="s">
        <v>23</v>
      </c>
      <c r="I8" s="6" t="s">
        <v>40</v>
      </c>
      <c r="J8" s="6" t="s">
        <v>27</v>
      </c>
      <c r="K8" s="6" t="s">
        <v>112</v>
      </c>
      <c r="L8" s="6" t="str">
        <f>+C8</f>
        <v>PUB</v>
      </c>
      <c r="M8" s="6" t="str">
        <f>+C8</f>
        <v>PUB</v>
      </c>
      <c r="N8" s="6" t="s">
        <v>41</v>
      </c>
      <c r="O8" s="6"/>
      <c r="P8" s="6" t="s">
        <v>42</v>
      </c>
      <c r="Q8" s="6" t="s">
        <v>115</v>
      </c>
      <c r="R8" s="6" t="s">
        <v>38</v>
      </c>
      <c r="S8" s="6" t="s">
        <v>39</v>
      </c>
      <c r="T8" s="6" t="s">
        <v>43</v>
      </c>
      <c r="U8" s="6"/>
      <c r="V8" s="6"/>
      <c r="W8" s="6"/>
      <c r="X8" s="6"/>
      <c r="Y8" s="6"/>
    </row>
    <row r="9" spans="2:25" ht="11.25">
      <c r="B9" s="6" t="s">
        <v>40</v>
      </c>
      <c r="C9" s="6" t="s">
        <v>40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24</v>
      </c>
      <c r="J9" s="6" t="s">
        <v>44</v>
      </c>
      <c r="K9" s="6" t="s">
        <v>28</v>
      </c>
      <c r="L9" s="6" t="s">
        <v>44</v>
      </c>
      <c r="M9" s="6" t="s">
        <v>28</v>
      </c>
      <c r="N9" s="6" t="s">
        <v>24</v>
      </c>
      <c r="O9" s="6"/>
      <c r="P9" s="6" t="s">
        <v>45</v>
      </c>
      <c r="Q9" s="6"/>
      <c r="R9" s="6"/>
      <c r="S9" s="6"/>
      <c r="T9" s="6"/>
      <c r="U9" s="6"/>
      <c r="V9" s="6"/>
      <c r="W9" s="6"/>
      <c r="X9" s="6"/>
      <c r="Y9" s="6"/>
    </row>
    <row r="12" spans="1:20" ht="11.25">
      <c r="A12" s="5" t="s">
        <v>3</v>
      </c>
      <c r="B12" s="19">
        <v>499820</v>
      </c>
      <c r="C12" s="19">
        <v>499820</v>
      </c>
      <c r="D12" s="19">
        <f>-G35</f>
        <v>0</v>
      </c>
      <c r="E12" s="19">
        <f aca="true" t="shared" si="0" ref="E12:E17">+E35</f>
        <v>-144</v>
      </c>
      <c r="F12" s="19">
        <v>0</v>
      </c>
      <c r="G12" s="19">
        <v>0</v>
      </c>
      <c r="H12" s="19">
        <f>SUM(C12:G12)</f>
        <v>499676</v>
      </c>
      <c r="I12" s="19">
        <f>+H12-B12</f>
        <v>-144</v>
      </c>
      <c r="J12" s="19">
        <v>24.3282</v>
      </c>
      <c r="K12" s="19">
        <f>ROUND(J12,2)</f>
        <v>24.33</v>
      </c>
      <c r="L12" s="19">
        <v>28.5734</v>
      </c>
      <c r="M12" s="19">
        <f>ROUND(L12,2)</f>
        <v>28.57</v>
      </c>
      <c r="N12" s="19">
        <f>+M12-K12</f>
        <v>4.240000000000002</v>
      </c>
      <c r="O12" s="19"/>
      <c r="P12" s="19">
        <f>+H12*N12</f>
        <v>2118626.240000001</v>
      </c>
      <c r="Q12" s="19">
        <v>0</v>
      </c>
      <c r="R12" s="19">
        <f>+F12*18.36</f>
        <v>0</v>
      </c>
      <c r="S12" s="19">
        <f>+G12*37.79</f>
        <v>0</v>
      </c>
      <c r="T12" s="19">
        <f>SUM(P12:S12)</f>
        <v>2118626.240000001</v>
      </c>
    </row>
    <row r="13" spans="1:20" ht="11.25">
      <c r="A13" s="5" t="s">
        <v>4</v>
      </c>
      <c r="B13" s="19">
        <v>451459</v>
      </c>
      <c r="C13" s="19">
        <v>451459</v>
      </c>
      <c r="D13" s="19">
        <f aca="true" t="shared" si="1" ref="D13:D23">-G36</f>
        <v>0</v>
      </c>
      <c r="E13" s="19">
        <f t="shared" si="0"/>
        <v>-134</v>
      </c>
      <c r="F13" s="19">
        <v>0</v>
      </c>
      <c r="G13" s="19">
        <v>0</v>
      </c>
      <c r="H13" s="19">
        <f aca="true" t="shared" si="2" ref="H13:H23">SUM(C13:G13)</f>
        <v>451325</v>
      </c>
      <c r="I13" s="19">
        <f aca="true" t="shared" si="3" ref="I13:I23">+H13-B13</f>
        <v>-134</v>
      </c>
      <c r="J13" s="19">
        <v>21.7044</v>
      </c>
      <c r="K13" s="19">
        <f aca="true" t="shared" si="4" ref="K13:K23">ROUND(J13,2)</f>
        <v>21.7</v>
      </c>
      <c r="L13" s="19">
        <v>28.4562</v>
      </c>
      <c r="M13" s="19">
        <f aca="true" t="shared" si="5" ref="M13:M23">ROUND(L13,2)</f>
        <v>28.46</v>
      </c>
      <c r="N13" s="19">
        <f aca="true" t="shared" si="6" ref="N13:N23">+M13-K13</f>
        <v>6.760000000000002</v>
      </c>
      <c r="O13" s="19"/>
      <c r="P13" s="19">
        <f aca="true" t="shared" si="7" ref="P13:P22">+H13*N13</f>
        <v>3050957.000000001</v>
      </c>
      <c r="Q13" s="19">
        <v>0</v>
      </c>
      <c r="R13" s="19">
        <f aca="true" t="shared" si="8" ref="R13:R22">+F13*18.36</f>
        <v>0</v>
      </c>
      <c r="S13" s="19">
        <f aca="true" t="shared" si="9" ref="S13:S22">+G13*37.79</f>
        <v>0</v>
      </c>
      <c r="T13" s="19">
        <f aca="true" t="shared" si="10" ref="T13:T22">SUM(P13:S13)</f>
        <v>3050957.000000001</v>
      </c>
    </row>
    <row r="14" spans="1:20" ht="11.25">
      <c r="A14" s="5" t="s">
        <v>5</v>
      </c>
      <c r="B14" s="19">
        <v>374869</v>
      </c>
      <c r="C14" s="19">
        <v>374869</v>
      </c>
      <c r="D14" s="19">
        <f t="shared" si="1"/>
        <v>0</v>
      </c>
      <c r="E14" s="19">
        <f t="shared" si="0"/>
        <v>-149</v>
      </c>
      <c r="F14" s="19">
        <v>0</v>
      </c>
      <c r="G14" s="19">
        <v>0</v>
      </c>
      <c r="H14" s="19">
        <f t="shared" si="2"/>
        <v>374720</v>
      </c>
      <c r="I14" s="19">
        <f t="shared" si="3"/>
        <v>-149</v>
      </c>
      <c r="J14" s="19">
        <v>21.7044</v>
      </c>
      <c r="K14" s="19">
        <f t="shared" si="4"/>
        <v>21.7</v>
      </c>
      <c r="L14" s="19">
        <v>28.4562</v>
      </c>
      <c r="M14" s="19">
        <f t="shared" si="5"/>
        <v>28.46</v>
      </c>
      <c r="N14" s="19">
        <f t="shared" si="6"/>
        <v>6.760000000000002</v>
      </c>
      <c r="O14" s="19"/>
      <c r="P14" s="19">
        <f t="shared" si="7"/>
        <v>2533107.2000000007</v>
      </c>
      <c r="Q14" s="19">
        <v>0</v>
      </c>
      <c r="R14" s="19">
        <f t="shared" si="8"/>
        <v>0</v>
      </c>
      <c r="S14" s="19">
        <f t="shared" si="9"/>
        <v>0</v>
      </c>
      <c r="T14" s="19">
        <f t="shared" si="10"/>
        <v>2533107.2000000007</v>
      </c>
    </row>
    <row r="15" spans="1:20" ht="11.25">
      <c r="A15" s="5" t="s">
        <v>6</v>
      </c>
      <c r="B15" s="19">
        <v>322459</v>
      </c>
      <c r="C15" s="19">
        <v>322459</v>
      </c>
      <c r="D15" s="19">
        <f t="shared" si="1"/>
        <v>0</v>
      </c>
      <c r="E15" s="19">
        <f t="shared" si="0"/>
        <v>-144</v>
      </c>
      <c r="F15" s="19">
        <v>0</v>
      </c>
      <c r="G15" s="19">
        <v>0</v>
      </c>
      <c r="H15" s="19">
        <f t="shared" si="2"/>
        <v>322315</v>
      </c>
      <c r="I15" s="19">
        <f t="shared" si="3"/>
        <v>-144</v>
      </c>
      <c r="J15" s="19">
        <v>20.7688</v>
      </c>
      <c r="K15" s="19">
        <f t="shared" si="4"/>
        <v>20.77</v>
      </c>
      <c r="L15" s="19">
        <v>28.4144</v>
      </c>
      <c r="M15" s="19">
        <f t="shared" si="5"/>
        <v>28.41</v>
      </c>
      <c r="N15" s="19">
        <f t="shared" si="6"/>
        <v>7.640000000000001</v>
      </c>
      <c r="O15" s="19"/>
      <c r="P15" s="19">
        <f t="shared" si="7"/>
        <v>2462486.6</v>
      </c>
      <c r="Q15" s="19">
        <v>0</v>
      </c>
      <c r="R15" s="19">
        <f t="shared" si="8"/>
        <v>0</v>
      </c>
      <c r="S15" s="19">
        <f t="shared" si="9"/>
        <v>0</v>
      </c>
      <c r="T15" s="19">
        <f t="shared" si="10"/>
        <v>2462486.6</v>
      </c>
    </row>
    <row r="16" spans="1:20" ht="11.25">
      <c r="A16" s="5" t="s">
        <v>7</v>
      </c>
      <c r="B16" s="19">
        <v>249918</v>
      </c>
      <c r="C16" s="19">
        <v>249918</v>
      </c>
      <c r="D16" s="19">
        <f t="shared" si="1"/>
        <v>0</v>
      </c>
      <c r="E16" s="19">
        <f t="shared" si="0"/>
        <v>-139</v>
      </c>
      <c r="F16" s="19">
        <v>0</v>
      </c>
      <c r="G16" s="19">
        <v>0</v>
      </c>
      <c r="H16" s="19">
        <f t="shared" si="2"/>
        <v>249779</v>
      </c>
      <c r="I16" s="19">
        <f t="shared" si="3"/>
        <v>-139</v>
      </c>
      <c r="J16" s="19">
        <v>20.7688</v>
      </c>
      <c r="K16" s="19">
        <f t="shared" si="4"/>
        <v>20.77</v>
      </c>
      <c r="L16" s="19">
        <v>28.4144</v>
      </c>
      <c r="M16" s="19">
        <f t="shared" si="5"/>
        <v>28.41</v>
      </c>
      <c r="N16" s="19">
        <f t="shared" si="6"/>
        <v>7.640000000000001</v>
      </c>
      <c r="O16" s="19"/>
      <c r="P16" s="19">
        <f t="shared" si="7"/>
        <v>1908311.56</v>
      </c>
      <c r="Q16" s="19">
        <v>0</v>
      </c>
      <c r="R16" s="19">
        <f t="shared" si="8"/>
        <v>0</v>
      </c>
      <c r="S16" s="19">
        <f t="shared" si="9"/>
        <v>0</v>
      </c>
      <c r="T16" s="19">
        <f t="shared" si="10"/>
        <v>1908311.56</v>
      </c>
    </row>
    <row r="17" spans="1:20" ht="11.25">
      <c r="A17" s="5" t="s">
        <v>8</v>
      </c>
      <c r="B17" s="19">
        <v>161230</v>
      </c>
      <c r="C17" s="19">
        <v>161230</v>
      </c>
      <c r="D17" s="19">
        <f t="shared" si="1"/>
        <v>0</v>
      </c>
      <c r="E17" s="19">
        <f t="shared" si="0"/>
        <v>-144</v>
      </c>
      <c r="F17" s="19">
        <v>0</v>
      </c>
      <c r="G17" s="19">
        <v>0</v>
      </c>
      <c r="H17" s="19">
        <f t="shared" si="2"/>
        <v>161086</v>
      </c>
      <c r="I17" s="19">
        <f t="shared" si="3"/>
        <v>-144</v>
      </c>
      <c r="J17" s="19">
        <v>20.4422</v>
      </c>
      <c r="K17" s="19">
        <f t="shared" si="4"/>
        <v>20.44</v>
      </c>
      <c r="L17" s="19">
        <v>28.3998</v>
      </c>
      <c r="M17" s="19">
        <f t="shared" si="5"/>
        <v>28.4</v>
      </c>
      <c r="N17" s="19">
        <f t="shared" si="6"/>
        <v>7.959999999999997</v>
      </c>
      <c r="O17" s="19"/>
      <c r="P17" s="19">
        <f t="shared" si="7"/>
        <v>1282244.5599999996</v>
      </c>
      <c r="Q17" s="19">
        <v>0</v>
      </c>
      <c r="R17" s="19">
        <f t="shared" si="8"/>
        <v>0</v>
      </c>
      <c r="S17" s="19">
        <f t="shared" si="9"/>
        <v>0</v>
      </c>
      <c r="T17" s="19">
        <f t="shared" si="10"/>
        <v>1282244.5599999996</v>
      </c>
    </row>
    <row r="18" spans="1:20" ht="11.25">
      <c r="A18" s="5" t="s">
        <v>9</v>
      </c>
      <c r="B18" s="19">
        <v>0</v>
      </c>
      <c r="C18" s="19">
        <v>0</v>
      </c>
      <c r="D18" s="19">
        <f t="shared" si="1"/>
        <v>0</v>
      </c>
      <c r="E18" s="19">
        <v>0</v>
      </c>
      <c r="F18" s="19">
        <v>0</v>
      </c>
      <c r="G18" s="19">
        <v>0</v>
      </c>
      <c r="H18" s="19">
        <f t="shared" si="2"/>
        <v>0</v>
      </c>
      <c r="I18" s="19">
        <f t="shared" si="3"/>
        <v>0</v>
      </c>
      <c r="J18" s="19">
        <v>20.4422</v>
      </c>
      <c r="K18" s="19">
        <f t="shared" si="4"/>
        <v>20.44</v>
      </c>
      <c r="L18" s="19">
        <v>28.3998</v>
      </c>
      <c r="M18" s="19">
        <f t="shared" si="5"/>
        <v>28.4</v>
      </c>
      <c r="N18" s="19">
        <f t="shared" si="6"/>
        <v>7.959999999999997</v>
      </c>
      <c r="O18" s="19"/>
      <c r="P18" s="19">
        <f t="shared" si="7"/>
        <v>0</v>
      </c>
      <c r="Q18" s="19">
        <v>0</v>
      </c>
      <c r="R18" s="19">
        <f t="shared" si="8"/>
        <v>0</v>
      </c>
      <c r="S18" s="19">
        <f t="shared" si="9"/>
        <v>0</v>
      </c>
      <c r="T18" s="19">
        <f t="shared" si="10"/>
        <v>0</v>
      </c>
    </row>
    <row r="19" spans="1:20" ht="11.25">
      <c r="A19" s="5" t="s">
        <v>10</v>
      </c>
      <c r="B19" s="19">
        <v>0</v>
      </c>
      <c r="C19" s="19">
        <v>0</v>
      </c>
      <c r="D19" s="19">
        <f t="shared" si="1"/>
        <v>0</v>
      </c>
      <c r="E19" s="19">
        <v>0</v>
      </c>
      <c r="F19" s="19">
        <v>0</v>
      </c>
      <c r="G19" s="19">
        <v>0</v>
      </c>
      <c r="H19" s="19">
        <f t="shared" si="2"/>
        <v>0</v>
      </c>
      <c r="I19" s="19">
        <f t="shared" si="3"/>
        <v>0</v>
      </c>
      <c r="J19" s="19">
        <v>20.4422</v>
      </c>
      <c r="K19" s="19">
        <f t="shared" si="4"/>
        <v>20.44</v>
      </c>
      <c r="L19" s="19">
        <v>28.3998</v>
      </c>
      <c r="M19" s="19">
        <f t="shared" si="5"/>
        <v>28.4</v>
      </c>
      <c r="N19" s="19">
        <f t="shared" si="6"/>
        <v>7.959999999999997</v>
      </c>
      <c r="O19" s="19"/>
      <c r="P19" s="19">
        <f t="shared" si="7"/>
        <v>0</v>
      </c>
      <c r="Q19" s="19">
        <v>0</v>
      </c>
      <c r="R19" s="19">
        <f t="shared" si="8"/>
        <v>0</v>
      </c>
      <c r="S19" s="19">
        <f t="shared" si="9"/>
        <v>0</v>
      </c>
      <c r="T19" s="19">
        <f t="shared" si="10"/>
        <v>0</v>
      </c>
    </row>
    <row r="20" spans="1:20" ht="11.25">
      <c r="A20" s="5" t="s">
        <v>11</v>
      </c>
      <c r="B20" s="19">
        <v>241852</v>
      </c>
      <c r="C20" s="19">
        <v>241852</v>
      </c>
      <c r="D20" s="19">
        <f t="shared" si="1"/>
        <v>0</v>
      </c>
      <c r="E20" s="19">
        <f>+E43+E41+E42</f>
        <v>-5605</v>
      </c>
      <c r="F20" s="19">
        <v>0</v>
      </c>
      <c r="G20" s="19">
        <v>0</v>
      </c>
      <c r="H20" s="19">
        <f t="shared" si="2"/>
        <v>236247</v>
      </c>
      <c r="I20" s="19">
        <f t="shared" si="3"/>
        <v>-5605</v>
      </c>
      <c r="J20" s="19">
        <v>20.279</v>
      </c>
      <c r="K20" s="19">
        <f t="shared" si="4"/>
        <v>20.28</v>
      </c>
      <c r="L20" s="19">
        <v>28.3925</v>
      </c>
      <c r="M20" s="19">
        <f t="shared" si="5"/>
        <v>28.39</v>
      </c>
      <c r="N20" s="19">
        <f t="shared" si="6"/>
        <v>8.11</v>
      </c>
      <c r="O20" s="19"/>
      <c r="P20" s="19">
        <f t="shared" si="7"/>
        <v>1915963.17</v>
      </c>
      <c r="Q20" s="19">
        <v>0</v>
      </c>
      <c r="R20" s="19">
        <f t="shared" si="8"/>
        <v>0</v>
      </c>
      <c r="S20" s="19">
        <f t="shared" si="9"/>
        <v>0</v>
      </c>
      <c r="T20" s="19">
        <f t="shared" si="10"/>
        <v>1915963.17</v>
      </c>
    </row>
    <row r="21" spans="1:20" ht="11.25">
      <c r="A21" s="5" t="s">
        <v>12</v>
      </c>
      <c r="B21" s="19">
        <v>333213</v>
      </c>
      <c r="C21" s="19">
        <v>333213</v>
      </c>
      <c r="D21" s="19">
        <f t="shared" si="1"/>
        <v>0</v>
      </c>
      <c r="E21" s="19">
        <f>+E44</f>
        <v>-4395</v>
      </c>
      <c r="F21" s="19">
        <v>0</v>
      </c>
      <c r="G21" s="19">
        <v>0</v>
      </c>
      <c r="H21" s="19">
        <f t="shared" si="2"/>
        <v>328818</v>
      </c>
      <c r="I21" s="19">
        <f t="shared" si="3"/>
        <v>-4395</v>
      </c>
      <c r="J21" s="19">
        <v>20.1772</v>
      </c>
      <c r="K21" s="19">
        <f t="shared" si="4"/>
        <v>20.18</v>
      </c>
      <c r="L21" s="19">
        <v>28.3879</v>
      </c>
      <c r="M21" s="19">
        <f t="shared" si="5"/>
        <v>28.39</v>
      </c>
      <c r="N21" s="19">
        <f t="shared" si="6"/>
        <v>8.21</v>
      </c>
      <c r="O21" s="19"/>
      <c r="P21" s="19">
        <f t="shared" si="7"/>
        <v>2699595.7800000003</v>
      </c>
      <c r="Q21" s="19">
        <v>0</v>
      </c>
      <c r="R21" s="19">
        <f t="shared" si="8"/>
        <v>0</v>
      </c>
      <c r="S21" s="19">
        <f t="shared" si="9"/>
        <v>0</v>
      </c>
      <c r="T21" s="19">
        <f t="shared" si="10"/>
        <v>2699595.7800000003</v>
      </c>
    </row>
    <row r="22" spans="1:20" ht="11.25">
      <c r="A22" s="5" t="s">
        <v>13</v>
      </c>
      <c r="B22" s="19">
        <v>403082</v>
      </c>
      <c r="C22" s="19">
        <v>403082</v>
      </c>
      <c r="D22" s="19">
        <f t="shared" si="1"/>
        <v>0</v>
      </c>
      <c r="E22" s="19">
        <f>+E45</f>
        <v>-144</v>
      </c>
      <c r="F22" s="19">
        <v>0</v>
      </c>
      <c r="G22" s="19">
        <v>0</v>
      </c>
      <c r="H22" s="19">
        <f t="shared" si="2"/>
        <v>402938</v>
      </c>
      <c r="I22" s="19">
        <f t="shared" si="3"/>
        <v>-144</v>
      </c>
      <c r="J22" s="19">
        <v>20.0732</v>
      </c>
      <c r="K22" s="19">
        <f t="shared" si="4"/>
        <v>20.07</v>
      </c>
      <c r="L22" s="19">
        <v>28.3833</v>
      </c>
      <c r="M22" s="19">
        <f t="shared" si="5"/>
        <v>28.38</v>
      </c>
      <c r="N22" s="19">
        <f t="shared" si="6"/>
        <v>8.309999999999999</v>
      </c>
      <c r="O22" s="19"/>
      <c r="P22" s="19">
        <f t="shared" si="7"/>
        <v>3348414.7799999993</v>
      </c>
      <c r="Q22" s="19">
        <v>0</v>
      </c>
      <c r="R22" s="19">
        <f t="shared" si="8"/>
        <v>0</v>
      </c>
      <c r="S22" s="19">
        <f t="shared" si="9"/>
        <v>0</v>
      </c>
      <c r="T22" s="19">
        <f t="shared" si="10"/>
        <v>3348414.7799999993</v>
      </c>
    </row>
    <row r="23" spans="1:20" ht="11.25">
      <c r="A23" s="5" t="s">
        <v>14</v>
      </c>
      <c r="B23" s="19">
        <v>499607</v>
      </c>
      <c r="C23" s="19">
        <v>499607</v>
      </c>
      <c r="D23" s="19">
        <f t="shared" si="1"/>
        <v>0</v>
      </c>
      <c r="E23" s="19">
        <f>+E46</f>
        <v>-144</v>
      </c>
      <c r="F23" s="19">
        <v>0</v>
      </c>
      <c r="G23" s="19">
        <v>0</v>
      </c>
      <c r="H23" s="19">
        <f t="shared" si="2"/>
        <v>499463</v>
      </c>
      <c r="I23" s="19">
        <f t="shared" si="3"/>
        <v>-144</v>
      </c>
      <c r="J23" s="19">
        <v>20.0346</v>
      </c>
      <c r="K23" s="19">
        <f t="shared" si="4"/>
        <v>20.03</v>
      </c>
      <c r="L23" s="19">
        <v>28.3816</v>
      </c>
      <c r="M23" s="19">
        <f t="shared" si="5"/>
        <v>28.38</v>
      </c>
      <c r="N23" s="19">
        <f t="shared" si="6"/>
        <v>8.349999999999998</v>
      </c>
      <c r="O23" s="19"/>
      <c r="P23" s="19">
        <f>+H23*N23</f>
        <v>4170516.049999999</v>
      </c>
      <c r="Q23" s="19">
        <v>0</v>
      </c>
      <c r="R23" s="19">
        <f>+F23*18.36</f>
        <v>0</v>
      </c>
      <c r="S23" s="19">
        <f>+G23*37.79</f>
        <v>0</v>
      </c>
      <c r="T23" s="19">
        <f>SUM(P23:S23)</f>
        <v>4170516.049999999</v>
      </c>
    </row>
    <row r="24" spans="2:20" ht="11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2:20" ht="12" thickBot="1">
      <c r="B25" s="46">
        <f aca="true" t="shared" si="11" ref="B25:G25">SUM(B12:B24)</f>
        <v>3537509</v>
      </c>
      <c r="C25" s="46">
        <f t="shared" si="11"/>
        <v>3537509</v>
      </c>
      <c r="D25" s="46">
        <f t="shared" si="11"/>
        <v>0</v>
      </c>
      <c r="E25" s="46">
        <f t="shared" si="11"/>
        <v>-11142</v>
      </c>
      <c r="F25" s="46">
        <f t="shared" si="11"/>
        <v>0</v>
      </c>
      <c r="G25" s="46">
        <f t="shared" si="11"/>
        <v>0</v>
      </c>
      <c r="H25" s="46">
        <f>SUM(H12:H24)</f>
        <v>3526367</v>
      </c>
      <c r="I25" s="46">
        <f>SUM(I12:I24)</f>
        <v>-11142</v>
      </c>
      <c r="J25" s="47"/>
      <c r="K25" s="19"/>
      <c r="L25" s="47"/>
      <c r="M25" s="19"/>
      <c r="N25" s="19"/>
      <c r="O25" s="19"/>
      <c r="P25" s="46">
        <f>SUM(P12:P24)</f>
        <v>25490222.939999998</v>
      </c>
      <c r="Q25" s="46">
        <f>SUM(Q12:Q24)</f>
        <v>0</v>
      </c>
      <c r="R25" s="46">
        <f>SUM(R12:R24)</f>
        <v>0</v>
      </c>
      <c r="S25" s="46">
        <f>SUM(S12:S24)</f>
        <v>0</v>
      </c>
      <c r="T25" s="46">
        <f>SUM(T12:T24)</f>
        <v>25490222.939999998</v>
      </c>
    </row>
    <row r="26" spans="16:20" ht="12" thickTop="1">
      <c r="P26" s="10"/>
      <c r="Q26" s="10"/>
      <c r="R26" s="10"/>
      <c r="S26" s="10"/>
      <c r="T26" s="10"/>
    </row>
    <row r="29" spans="2:7" ht="11.25">
      <c r="B29" s="6"/>
      <c r="C29" s="6" t="s">
        <v>108</v>
      </c>
      <c r="D29" s="6" t="s">
        <v>47</v>
      </c>
      <c r="E29" s="6" t="s">
        <v>108</v>
      </c>
      <c r="F29" s="6"/>
      <c r="G29" s="6"/>
    </row>
    <row r="30" spans="2:17" ht="11.25">
      <c r="B30" s="6"/>
      <c r="C30" s="6" t="s">
        <v>109</v>
      </c>
      <c r="D30" s="6" t="s">
        <v>48</v>
      </c>
      <c r="E30" s="6" t="s">
        <v>109</v>
      </c>
      <c r="F30" s="6"/>
      <c r="G30" s="6"/>
      <c r="Q30" s="1"/>
    </row>
    <row r="31" spans="2:7" ht="11.25">
      <c r="B31" s="6"/>
      <c r="C31" s="6" t="s">
        <v>115</v>
      </c>
      <c r="D31" s="6"/>
      <c r="E31" s="6" t="s">
        <v>115</v>
      </c>
      <c r="F31" s="6"/>
      <c r="G31" s="6"/>
    </row>
    <row r="32" spans="3:6" ht="11.25">
      <c r="C32" s="6" t="s">
        <v>46</v>
      </c>
      <c r="D32" s="6"/>
      <c r="E32" s="6" t="s">
        <v>40</v>
      </c>
      <c r="F32" s="6"/>
    </row>
    <row r="35" spans="1:7" ht="11.25">
      <c r="A35" s="5" t="s">
        <v>3</v>
      </c>
      <c r="B35" s="19"/>
      <c r="C35" s="48">
        <f>-Load!F34</f>
        <v>-88000</v>
      </c>
      <c r="D35" s="37">
        <v>0.61</v>
      </c>
      <c r="E35" s="48">
        <f>ROUND(C35/D35/1000,0)</f>
        <v>-144</v>
      </c>
      <c r="F35" s="37"/>
      <c r="G35" s="19"/>
    </row>
    <row r="36" spans="1:7" ht="11.25">
      <c r="A36" s="5" t="s">
        <v>4</v>
      </c>
      <c r="B36" s="19"/>
      <c r="C36" s="48">
        <f>-Load!G34</f>
        <v>-82000</v>
      </c>
      <c r="D36" s="37">
        <v>0.61</v>
      </c>
      <c r="E36" s="48">
        <f aca="true" t="shared" si="12" ref="E36:E46">ROUND(C36/D36/1000,0)</f>
        <v>-134</v>
      </c>
      <c r="F36" s="37"/>
      <c r="G36" s="19"/>
    </row>
    <row r="37" spans="1:7" ht="11.25">
      <c r="A37" s="5" t="s">
        <v>5</v>
      </c>
      <c r="B37" s="19"/>
      <c r="C37" s="48">
        <f>-Load!H34</f>
        <v>-91000</v>
      </c>
      <c r="D37" s="37">
        <v>0.61</v>
      </c>
      <c r="E37" s="48">
        <f t="shared" si="12"/>
        <v>-149</v>
      </c>
      <c r="F37" s="37"/>
      <c r="G37" s="19"/>
    </row>
    <row r="38" spans="1:7" ht="11.25">
      <c r="A38" s="5" t="s">
        <v>6</v>
      </c>
      <c r="B38" s="19"/>
      <c r="C38" s="48">
        <f>-Load!I34</f>
        <v>-88000</v>
      </c>
      <c r="D38" s="37">
        <v>0.61</v>
      </c>
      <c r="E38" s="48">
        <f t="shared" si="12"/>
        <v>-144</v>
      </c>
      <c r="F38" s="37"/>
      <c r="G38" s="19"/>
    </row>
    <row r="39" spans="1:7" ht="11.25">
      <c r="A39" s="5" t="s">
        <v>7</v>
      </c>
      <c r="B39" s="19"/>
      <c r="C39" s="48">
        <f>-Load!J34</f>
        <v>-85000</v>
      </c>
      <c r="D39" s="37">
        <v>0.61</v>
      </c>
      <c r="E39" s="48">
        <f t="shared" si="12"/>
        <v>-139</v>
      </c>
      <c r="F39" s="37"/>
      <c r="G39" s="19"/>
    </row>
    <row r="40" spans="1:7" ht="11.25">
      <c r="A40" s="5" t="s">
        <v>8</v>
      </c>
      <c r="B40" s="19"/>
      <c r="C40" s="48">
        <f>-Load!K34</f>
        <v>-88000</v>
      </c>
      <c r="D40" s="37">
        <v>0.61</v>
      </c>
      <c r="E40" s="48">
        <f t="shared" si="12"/>
        <v>-144</v>
      </c>
      <c r="F40" s="37"/>
      <c r="G40" s="19"/>
    </row>
    <row r="41" spans="1:7" ht="11.25">
      <c r="A41" s="5" t="s">
        <v>9</v>
      </c>
      <c r="B41" s="19"/>
      <c r="C41" s="48">
        <f>-Load!L34</f>
        <v>-91000</v>
      </c>
      <c r="D41" s="37">
        <v>0.61</v>
      </c>
      <c r="E41" s="48">
        <f t="shared" si="12"/>
        <v>-149</v>
      </c>
      <c r="F41" s="37"/>
      <c r="G41" s="19"/>
    </row>
    <row r="42" spans="1:11" ht="11.25">
      <c r="A42" s="5" t="s">
        <v>10</v>
      </c>
      <c r="B42" s="19"/>
      <c r="C42" s="48">
        <f>-Load!M34</f>
        <v>-91000</v>
      </c>
      <c r="D42" s="37">
        <v>0.61</v>
      </c>
      <c r="E42" s="48">
        <f t="shared" si="12"/>
        <v>-149</v>
      </c>
      <c r="F42" s="37"/>
      <c r="G42" s="19"/>
      <c r="K42" s="20"/>
    </row>
    <row r="43" spans="1:11" ht="11.25">
      <c r="A43" s="5" t="s">
        <v>11</v>
      </c>
      <c r="B43" s="19"/>
      <c r="C43" s="48">
        <f>-Load!N34</f>
        <v>-3237000</v>
      </c>
      <c r="D43" s="37">
        <v>0.61</v>
      </c>
      <c r="E43" s="48">
        <f t="shared" si="12"/>
        <v>-5307</v>
      </c>
      <c r="F43" s="37"/>
      <c r="G43" s="19"/>
      <c r="K43" s="20"/>
    </row>
    <row r="44" spans="1:7" ht="11.25">
      <c r="A44" s="5" t="s">
        <v>12</v>
      </c>
      <c r="B44" s="19"/>
      <c r="C44" s="48">
        <f>-Load!O34</f>
        <v>-2681000</v>
      </c>
      <c r="D44" s="37">
        <v>0.61</v>
      </c>
      <c r="E44" s="48">
        <f t="shared" si="12"/>
        <v>-4395</v>
      </c>
      <c r="F44" s="37"/>
      <c r="G44" s="19"/>
    </row>
    <row r="45" spans="1:7" ht="11.25">
      <c r="A45" s="5" t="s">
        <v>13</v>
      </c>
      <c r="B45" s="19"/>
      <c r="C45" s="48">
        <f>-Load!P34</f>
        <v>-88000</v>
      </c>
      <c r="D45" s="37">
        <v>0.61</v>
      </c>
      <c r="E45" s="48">
        <f t="shared" si="12"/>
        <v>-144</v>
      </c>
      <c r="F45" s="37"/>
      <c r="G45" s="19"/>
    </row>
    <row r="46" spans="1:7" ht="11.25">
      <c r="A46" s="5" t="s">
        <v>14</v>
      </c>
      <c r="B46" s="19"/>
      <c r="C46" s="48">
        <f>-Load!Q34</f>
        <v>-88000</v>
      </c>
      <c r="D46" s="37">
        <v>0.61</v>
      </c>
      <c r="E46" s="48">
        <f t="shared" si="12"/>
        <v>-144</v>
      </c>
      <c r="F46" s="37"/>
      <c r="G46" s="19"/>
    </row>
    <row r="47" spans="2:7" ht="11.25">
      <c r="B47" s="60"/>
      <c r="C47" s="48"/>
      <c r="E47" s="48"/>
      <c r="G47" s="60"/>
    </row>
    <row r="48" spans="2:7" ht="11.25">
      <c r="B48" s="60"/>
      <c r="C48" s="49">
        <f>SUM(C35:C47)</f>
        <v>-6798000</v>
      </c>
      <c r="E48" s="49">
        <f>SUM(E35:E47)</f>
        <v>-11142</v>
      </c>
      <c r="G48" s="60"/>
    </row>
    <row r="49" spans="2:7" ht="11.25">
      <c r="B49" s="19"/>
      <c r="C49" s="19"/>
      <c r="D49" s="19"/>
      <c r="E49" s="19"/>
      <c r="G49" s="19"/>
    </row>
    <row r="50" spans="2:7" ht="11.25">
      <c r="B50" s="19"/>
      <c r="C50" s="19"/>
      <c r="D50" s="19"/>
      <c r="E50" s="19"/>
      <c r="G50" s="19"/>
    </row>
    <row r="51" spans="2:7" ht="11.25">
      <c r="B51" s="19"/>
      <c r="C51" s="19"/>
      <c r="D51" s="19"/>
      <c r="E51" s="19"/>
      <c r="G51" s="19"/>
    </row>
    <row r="52" spans="2:7" ht="11.25">
      <c r="B52" s="19"/>
      <c r="C52" s="19"/>
      <c r="D52" s="19"/>
      <c r="E52" s="19"/>
      <c r="G52" s="19"/>
    </row>
    <row r="54" spans="2:7" ht="11.25">
      <c r="B54" s="12"/>
      <c r="G54" s="12"/>
    </row>
  </sheetData>
  <printOptions horizontalCentered="1" verticalCentered="1"/>
  <pageMargins left="0.5" right="0.5" top="1" bottom="1" header="0.5" footer="0.5"/>
  <pageSetup horizontalDpi="600" verticalDpi="600" orientation="landscape" scale="61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31"/>
  <sheetViews>
    <sheetView workbookViewId="0" topLeftCell="A1">
      <selection activeCell="F8" sqref="F8"/>
    </sheetView>
  </sheetViews>
  <sheetFormatPr defaultColWidth="9.140625" defaultRowHeight="12.75"/>
  <cols>
    <col min="1" max="3" width="3.7109375" style="5" customWidth="1"/>
    <col min="4" max="4" width="9.140625" style="5" customWidth="1"/>
    <col min="5" max="5" width="11.140625" style="5" bestFit="1" customWidth="1"/>
    <col min="6" max="18" width="12.7109375" style="5" customWidth="1"/>
    <col min="19" max="16384" width="9.140625" style="5" customWidth="1"/>
  </cols>
  <sheetData>
    <row r="1" spans="1:18" ht="11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1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1.25">
      <c r="A3" s="13" t="s">
        <v>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1.25">
      <c r="A4" s="13" t="str">
        <f>Summary!$A$4</f>
        <v>PUB    2002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ht="11.25">
      <c r="A5" s="4"/>
    </row>
    <row r="7" spans="6:18" ht="11.25">
      <c r="F7" s="23" t="s">
        <v>3</v>
      </c>
      <c r="G7" s="23" t="s">
        <v>4</v>
      </c>
      <c r="H7" s="23" t="s">
        <v>5</v>
      </c>
      <c r="I7" s="23" t="s">
        <v>6</v>
      </c>
      <c r="J7" s="23" t="s">
        <v>7</v>
      </c>
      <c r="K7" s="23" t="s">
        <v>8</v>
      </c>
      <c r="L7" s="23" t="s">
        <v>9</v>
      </c>
      <c r="M7" s="23" t="s">
        <v>10</v>
      </c>
      <c r="N7" s="23" t="s">
        <v>11</v>
      </c>
      <c r="O7" s="23" t="s">
        <v>12</v>
      </c>
      <c r="P7" s="23" t="s">
        <v>13</v>
      </c>
      <c r="Q7" s="23" t="s">
        <v>14</v>
      </c>
      <c r="R7" s="23" t="s">
        <v>61</v>
      </c>
    </row>
    <row r="9" spans="1:3" ht="11.25">
      <c r="A9" s="15" t="s">
        <v>49</v>
      </c>
      <c r="B9" s="15"/>
      <c r="C9" s="15"/>
    </row>
    <row r="10" spans="1:18" ht="11.25">
      <c r="A10" s="15"/>
      <c r="B10" s="15" t="s">
        <v>50</v>
      </c>
      <c r="C10" s="15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3:18" ht="11.25">
      <c r="C11" s="5" t="s">
        <v>52</v>
      </c>
      <c r="F11" s="48">
        <v>533100000</v>
      </c>
      <c r="G11" s="48">
        <v>471700000</v>
      </c>
      <c r="H11" s="48">
        <v>476800000</v>
      </c>
      <c r="I11" s="48">
        <v>383000000</v>
      </c>
      <c r="J11" s="48">
        <v>329900000</v>
      </c>
      <c r="K11" s="48">
        <v>273100000</v>
      </c>
      <c r="L11" s="48">
        <v>253400000</v>
      </c>
      <c r="M11" s="48">
        <v>247700000</v>
      </c>
      <c r="N11" s="48">
        <v>267000000</v>
      </c>
      <c r="O11" s="48">
        <v>331000000</v>
      </c>
      <c r="P11" s="48">
        <v>395100000</v>
      </c>
      <c r="Q11" s="48">
        <v>493000000</v>
      </c>
      <c r="R11" s="48">
        <f>SUM(F11:Q11)</f>
        <v>4454800000</v>
      </c>
    </row>
    <row r="12" spans="6:18" ht="11.25"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6:18" ht="11.25">
      <c r="F13" s="50">
        <f>SUM(F11:F12)</f>
        <v>533100000</v>
      </c>
      <c r="G13" s="50">
        <f aca="true" t="shared" si="0" ref="G13:Q13">SUM(G11:G12)</f>
        <v>471700000</v>
      </c>
      <c r="H13" s="50">
        <f t="shared" si="0"/>
        <v>476800000</v>
      </c>
      <c r="I13" s="50">
        <f t="shared" si="0"/>
        <v>383000000</v>
      </c>
      <c r="J13" s="50">
        <f t="shared" si="0"/>
        <v>329900000</v>
      </c>
      <c r="K13" s="50">
        <f t="shared" si="0"/>
        <v>273100000</v>
      </c>
      <c r="L13" s="50">
        <f t="shared" si="0"/>
        <v>253400000</v>
      </c>
      <c r="M13" s="50">
        <f t="shared" si="0"/>
        <v>247700000</v>
      </c>
      <c r="N13" s="50">
        <f t="shared" si="0"/>
        <v>267000000</v>
      </c>
      <c r="O13" s="50">
        <f t="shared" si="0"/>
        <v>331000000</v>
      </c>
      <c r="P13" s="50">
        <f t="shared" si="0"/>
        <v>395100000</v>
      </c>
      <c r="Q13" s="50">
        <f t="shared" si="0"/>
        <v>493000000</v>
      </c>
      <c r="R13" s="50">
        <f>SUM(F13:Q13)</f>
        <v>4454800000</v>
      </c>
    </row>
    <row r="14" spans="6:18" ht="11.25"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6:18" ht="11.25"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2:18" ht="11.25">
      <c r="B16" s="15" t="s">
        <v>80</v>
      </c>
      <c r="F16" s="48"/>
      <c r="G16" s="48"/>
      <c r="H16" s="48"/>
      <c r="I16" s="48" t="s">
        <v>60</v>
      </c>
      <c r="J16" s="48"/>
      <c r="K16" s="48"/>
      <c r="L16" s="48"/>
      <c r="M16" s="48"/>
      <c r="N16" s="48"/>
      <c r="O16" s="48"/>
      <c r="P16" s="48"/>
      <c r="Q16" s="48"/>
      <c r="R16" s="48" t="s">
        <v>60</v>
      </c>
    </row>
    <row r="17" spans="3:19" ht="12.75">
      <c r="C17" s="5" t="s">
        <v>53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/>
    </row>
    <row r="18" spans="4:18" ht="11.25">
      <c r="D18" s="20" t="s">
        <v>54</v>
      </c>
      <c r="F18" s="48">
        <v>12500000</v>
      </c>
      <c r="G18" s="48">
        <v>11290000</v>
      </c>
      <c r="H18" s="48">
        <v>12500000</v>
      </c>
      <c r="I18" s="48">
        <v>12380000</v>
      </c>
      <c r="J18" s="48">
        <v>12800000</v>
      </c>
      <c r="K18" s="48">
        <v>10080000</v>
      </c>
      <c r="L18" s="48">
        <v>11610000</v>
      </c>
      <c r="M18" s="48">
        <v>12200000</v>
      </c>
      <c r="N18" s="48">
        <v>11420000</v>
      </c>
      <c r="O18" s="48">
        <v>11610000</v>
      </c>
      <c r="P18" s="48">
        <v>11230000</v>
      </c>
      <c r="Q18" s="48">
        <v>11660000</v>
      </c>
      <c r="R18" s="48">
        <f>SUM(F18:Q18)</f>
        <v>141280000</v>
      </c>
    </row>
    <row r="19" spans="4:18" ht="11.25">
      <c r="D19" s="20" t="s">
        <v>55</v>
      </c>
      <c r="F19" s="48">
        <v>290000</v>
      </c>
      <c r="G19" s="48">
        <v>260000</v>
      </c>
      <c r="H19" s="48">
        <v>290000</v>
      </c>
      <c r="I19" s="48">
        <v>600000</v>
      </c>
      <c r="J19" s="48">
        <v>410000</v>
      </c>
      <c r="K19" s="48">
        <v>270000</v>
      </c>
      <c r="L19" s="48">
        <v>490000</v>
      </c>
      <c r="M19" s="48">
        <v>490000</v>
      </c>
      <c r="N19" s="48">
        <v>310000</v>
      </c>
      <c r="O19" s="48">
        <v>490000</v>
      </c>
      <c r="P19" s="48">
        <v>470000</v>
      </c>
      <c r="Q19" s="48">
        <v>640000</v>
      </c>
      <c r="R19" s="48">
        <f>SUM(F19:Q19)</f>
        <v>5010000</v>
      </c>
    </row>
    <row r="20" spans="6:18" ht="11.25">
      <c r="F20" s="49">
        <f>SUM(F18:F19)</f>
        <v>12790000</v>
      </c>
      <c r="G20" s="49">
        <f aca="true" t="shared" si="1" ref="G20:Q20">SUM(G18:G19)</f>
        <v>11550000</v>
      </c>
      <c r="H20" s="49">
        <f t="shared" si="1"/>
        <v>12790000</v>
      </c>
      <c r="I20" s="49">
        <f t="shared" si="1"/>
        <v>12980000</v>
      </c>
      <c r="J20" s="49">
        <f t="shared" si="1"/>
        <v>13210000</v>
      </c>
      <c r="K20" s="49">
        <f t="shared" si="1"/>
        <v>10350000</v>
      </c>
      <c r="L20" s="49">
        <f t="shared" si="1"/>
        <v>12100000</v>
      </c>
      <c r="M20" s="49">
        <f t="shared" si="1"/>
        <v>12690000</v>
      </c>
      <c r="N20" s="49">
        <f t="shared" si="1"/>
        <v>11730000</v>
      </c>
      <c r="O20" s="49">
        <f t="shared" si="1"/>
        <v>12100000</v>
      </c>
      <c r="P20" s="49">
        <f t="shared" si="1"/>
        <v>11700000</v>
      </c>
      <c r="Q20" s="49">
        <f t="shared" si="1"/>
        <v>12300000</v>
      </c>
      <c r="R20" s="49">
        <f>SUM(F20:Q20)</f>
        <v>146290000</v>
      </c>
    </row>
    <row r="21" spans="6:19" ht="12.75"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 t="s">
        <v>60</v>
      </c>
      <c r="S21"/>
    </row>
    <row r="22" spans="3:18" ht="11.25">
      <c r="C22" s="5" t="s">
        <v>56</v>
      </c>
      <c r="F22" s="48">
        <v>47376000</v>
      </c>
      <c r="G22" s="48">
        <v>44218000</v>
      </c>
      <c r="H22" s="48">
        <v>48955000</v>
      </c>
      <c r="I22" s="48">
        <v>47376000</v>
      </c>
      <c r="J22" s="48">
        <v>45797000</v>
      </c>
      <c r="K22" s="48">
        <v>47376000</v>
      </c>
      <c r="L22" s="48">
        <v>48955000</v>
      </c>
      <c r="M22" s="48">
        <v>48955000</v>
      </c>
      <c r="N22" s="48">
        <v>45797000</v>
      </c>
      <c r="O22" s="48">
        <v>48955000</v>
      </c>
      <c r="P22" s="48">
        <v>47376000</v>
      </c>
      <c r="Q22" s="48">
        <v>46376000</v>
      </c>
      <c r="R22" s="48">
        <f>SUM(F22:Q22)</f>
        <v>567512000</v>
      </c>
    </row>
    <row r="23" spans="3:18" ht="11.25">
      <c r="C23" s="5" t="s">
        <v>57</v>
      </c>
      <c r="F23" s="48">
        <v>1460000</v>
      </c>
      <c r="G23" s="48">
        <v>1320000</v>
      </c>
      <c r="H23" s="48">
        <v>1460000</v>
      </c>
      <c r="I23" s="48">
        <v>1410000</v>
      </c>
      <c r="J23" s="48">
        <v>1460000</v>
      </c>
      <c r="K23" s="48">
        <v>1410000</v>
      </c>
      <c r="L23" s="48">
        <v>1460000</v>
      </c>
      <c r="M23" s="48">
        <v>1460000</v>
      </c>
      <c r="N23" s="48">
        <v>1410000</v>
      </c>
      <c r="O23" s="48">
        <v>1360000</v>
      </c>
      <c r="P23" s="48">
        <v>1410000</v>
      </c>
      <c r="Q23" s="48">
        <v>1460000</v>
      </c>
      <c r="R23" s="48">
        <f>SUM(F23:Q23)</f>
        <v>17080000</v>
      </c>
    </row>
    <row r="24" spans="3:18" ht="11.25">
      <c r="C24" s="5" t="s">
        <v>58</v>
      </c>
      <c r="F24" s="48">
        <v>43173000</v>
      </c>
      <c r="G24" s="48">
        <v>39086000</v>
      </c>
      <c r="H24" s="48">
        <v>43183000</v>
      </c>
      <c r="I24" s="48">
        <v>41498000</v>
      </c>
      <c r="J24" s="48">
        <v>42364000</v>
      </c>
      <c r="K24" s="48">
        <v>41003000</v>
      </c>
      <c r="L24" s="48">
        <v>42365000</v>
      </c>
      <c r="M24" s="48">
        <v>42365000</v>
      </c>
      <c r="N24" s="48">
        <v>40998000</v>
      </c>
      <c r="O24" s="48">
        <v>41094000</v>
      </c>
      <c r="P24" s="48">
        <v>40998000</v>
      </c>
      <c r="Q24" s="48">
        <v>42361000</v>
      </c>
      <c r="R24" s="48">
        <f>SUM(F24:Q24)</f>
        <v>500488000</v>
      </c>
    </row>
    <row r="25" spans="3:18" ht="11.25">
      <c r="C25" s="5" t="s">
        <v>59</v>
      </c>
      <c r="F25" s="48">
        <v>20500000</v>
      </c>
      <c r="G25" s="48">
        <v>20400000</v>
      </c>
      <c r="H25" s="48">
        <v>20200000</v>
      </c>
      <c r="I25" s="48">
        <v>19900000</v>
      </c>
      <c r="J25" s="48">
        <v>12500000</v>
      </c>
      <c r="K25" s="48">
        <v>19900000</v>
      </c>
      <c r="L25" s="48">
        <v>19700000</v>
      </c>
      <c r="M25" s="48">
        <v>19700000</v>
      </c>
      <c r="N25" s="48">
        <v>19900000</v>
      </c>
      <c r="O25" s="48">
        <v>20300000</v>
      </c>
      <c r="P25" s="48">
        <v>20200000</v>
      </c>
      <c r="Q25" s="48">
        <v>20400000</v>
      </c>
      <c r="R25" s="48">
        <f>SUM(F25:Q25)</f>
        <v>233600000</v>
      </c>
    </row>
    <row r="26" spans="6:18" ht="11.25">
      <c r="F26" s="48" t="s">
        <v>60</v>
      </c>
      <c r="G26" s="48" t="s">
        <v>60</v>
      </c>
      <c r="H26" s="48" t="s">
        <v>60</v>
      </c>
      <c r="I26" s="48" t="s">
        <v>60</v>
      </c>
      <c r="J26" s="48" t="s">
        <v>60</v>
      </c>
      <c r="K26" s="48" t="s">
        <v>60</v>
      </c>
      <c r="L26" s="48" t="s">
        <v>60</v>
      </c>
      <c r="M26" s="48" t="s">
        <v>60</v>
      </c>
      <c r="N26" s="48" t="s">
        <v>60</v>
      </c>
      <c r="O26" s="48" t="s">
        <v>60</v>
      </c>
      <c r="P26" s="48" t="s">
        <v>60</v>
      </c>
      <c r="Q26" s="48" t="s">
        <v>60</v>
      </c>
      <c r="R26" s="48"/>
    </row>
    <row r="27" spans="6:18" ht="11.25">
      <c r="F27" s="50">
        <f aca="true" t="shared" si="2" ref="F27:Q27">SUM(F20:F26)</f>
        <v>125299000</v>
      </c>
      <c r="G27" s="50">
        <f t="shared" si="2"/>
        <v>116574000</v>
      </c>
      <c r="H27" s="50">
        <f t="shared" si="2"/>
        <v>126588000</v>
      </c>
      <c r="I27" s="50">
        <f t="shared" si="2"/>
        <v>123164000</v>
      </c>
      <c r="J27" s="50">
        <f t="shared" si="2"/>
        <v>115331000</v>
      </c>
      <c r="K27" s="50">
        <f t="shared" si="2"/>
        <v>120039000</v>
      </c>
      <c r="L27" s="50">
        <f t="shared" si="2"/>
        <v>124580000</v>
      </c>
      <c r="M27" s="50">
        <f t="shared" si="2"/>
        <v>125170000</v>
      </c>
      <c r="N27" s="50">
        <f t="shared" si="2"/>
        <v>119835000</v>
      </c>
      <c r="O27" s="50">
        <f t="shared" si="2"/>
        <v>123809000</v>
      </c>
      <c r="P27" s="50">
        <f t="shared" si="2"/>
        <v>121684000</v>
      </c>
      <c r="Q27" s="50">
        <f t="shared" si="2"/>
        <v>122897000</v>
      </c>
      <c r="R27" s="50">
        <f>SUM(F27:Q27)</f>
        <v>1464970000</v>
      </c>
    </row>
    <row r="28" spans="6:18" ht="11.25"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2:18" ht="12" thickBot="1">
      <c r="B29" s="5" t="s">
        <v>117</v>
      </c>
      <c r="F29" s="51">
        <f aca="true" t="shared" si="3" ref="F29:Q29">+F13+F27</f>
        <v>658399000</v>
      </c>
      <c r="G29" s="51">
        <f t="shared" si="3"/>
        <v>588274000</v>
      </c>
      <c r="H29" s="51">
        <f t="shared" si="3"/>
        <v>603388000</v>
      </c>
      <c r="I29" s="51">
        <f t="shared" si="3"/>
        <v>506164000</v>
      </c>
      <c r="J29" s="51">
        <f t="shared" si="3"/>
        <v>445231000</v>
      </c>
      <c r="K29" s="51">
        <f t="shared" si="3"/>
        <v>393139000</v>
      </c>
      <c r="L29" s="51">
        <f t="shared" si="3"/>
        <v>377980000</v>
      </c>
      <c r="M29" s="51">
        <f t="shared" si="3"/>
        <v>372870000</v>
      </c>
      <c r="N29" s="51">
        <f t="shared" si="3"/>
        <v>386835000</v>
      </c>
      <c r="O29" s="51">
        <f t="shared" si="3"/>
        <v>454809000</v>
      </c>
      <c r="P29" s="51">
        <f t="shared" si="3"/>
        <v>516784000</v>
      </c>
      <c r="Q29" s="51">
        <f t="shared" si="3"/>
        <v>615897000</v>
      </c>
      <c r="R29" s="51">
        <f>SUM(F29:Q29)</f>
        <v>5919770000</v>
      </c>
    </row>
    <row r="30" spans="6:18" ht="12" thickTop="1"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2:18" ht="11.25">
      <c r="B31" s="5" t="s">
        <v>116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3:18" ht="11.25">
      <c r="C32" s="5" t="s">
        <v>58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53">
        <v>3152000</v>
      </c>
      <c r="O32" s="53">
        <v>2590000</v>
      </c>
      <c r="P32" s="48">
        <v>0</v>
      </c>
      <c r="Q32" s="48">
        <v>0</v>
      </c>
      <c r="R32" s="48">
        <f>SUM(F32:Q32)</f>
        <v>5742000</v>
      </c>
    </row>
    <row r="33" spans="3:18" ht="11.25">
      <c r="C33" s="5" t="s">
        <v>56</v>
      </c>
      <c r="F33" s="53">
        <v>88000</v>
      </c>
      <c r="G33" s="53">
        <v>82000</v>
      </c>
      <c r="H33" s="53">
        <v>91000</v>
      </c>
      <c r="I33" s="53">
        <v>88000</v>
      </c>
      <c r="J33" s="53">
        <v>85000</v>
      </c>
      <c r="K33" s="53">
        <v>88000</v>
      </c>
      <c r="L33" s="53">
        <v>91000</v>
      </c>
      <c r="M33" s="53">
        <v>91000</v>
      </c>
      <c r="N33" s="53">
        <v>85000</v>
      </c>
      <c r="O33" s="53">
        <v>91000</v>
      </c>
      <c r="P33" s="53">
        <v>88000</v>
      </c>
      <c r="Q33" s="53">
        <v>88000</v>
      </c>
      <c r="R33" s="48">
        <f>SUM(F33:Q33)</f>
        <v>1056000</v>
      </c>
    </row>
    <row r="34" spans="2:18" ht="12" thickBot="1">
      <c r="B34" s="5" t="s">
        <v>118</v>
      </c>
      <c r="F34" s="54">
        <f>SUM(F32:F33)</f>
        <v>88000</v>
      </c>
      <c r="G34" s="54">
        <f aca="true" t="shared" si="4" ref="G34:R34">SUM(G32:G33)</f>
        <v>82000</v>
      </c>
      <c r="H34" s="54">
        <f t="shared" si="4"/>
        <v>91000</v>
      </c>
      <c r="I34" s="54">
        <f t="shared" si="4"/>
        <v>88000</v>
      </c>
      <c r="J34" s="54">
        <f t="shared" si="4"/>
        <v>85000</v>
      </c>
      <c r="K34" s="54">
        <f t="shared" si="4"/>
        <v>88000</v>
      </c>
      <c r="L34" s="54">
        <f t="shared" si="4"/>
        <v>91000</v>
      </c>
      <c r="M34" s="54">
        <f t="shared" si="4"/>
        <v>91000</v>
      </c>
      <c r="N34" s="54">
        <f t="shared" si="4"/>
        <v>3237000</v>
      </c>
      <c r="O34" s="54">
        <f t="shared" si="4"/>
        <v>2681000</v>
      </c>
      <c r="P34" s="54">
        <f t="shared" si="4"/>
        <v>88000</v>
      </c>
      <c r="Q34" s="54">
        <f t="shared" si="4"/>
        <v>88000</v>
      </c>
      <c r="R34" s="54">
        <f t="shared" si="4"/>
        <v>6798000</v>
      </c>
    </row>
    <row r="35" spans="6:18" ht="12" thickTop="1"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2:18" ht="12" thickBot="1">
      <c r="B36" s="15" t="s">
        <v>61</v>
      </c>
      <c r="F36" s="55">
        <f>+F29+F34</f>
        <v>658487000</v>
      </c>
      <c r="G36" s="55">
        <f aca="true" t="shared" si="5" ref="G36:R36">+G29+G34</f>
        <v>588356000</v>
      </c>
      <c r="H36" s="55">
        <f t="shared" si="5"/>
        <v>603479000</v>
      </c>
      <c r="I36" s="55">
        <f t="shared" si="5"/>
        <v>506252000</v>
      </c>
      <c r="J36" s="55">
        <f t="shared" si="5"/>
        <v>445316000</v>
      </c>
      <c r="K36" s="55">
        <f t="shared" si="5"/>
        <v>393227000</v>
      </c>
      <c r="L36" s="55">
        <f t="shared" si="5"/>
        <v>378071000</v>
      </c>
      <c r="M36" s="55">
        <f t="shared" si="5"/>
        <v>372961000</v>
      </c>
      <c r="N36" s="55">
        <f t="shared" si="5"/>
        <v>390072000</v>
      </c>
      <c r="O36" s="55">
        <f t="shared" si="5"/>
        <v>457490000</v>
      </c>
      <c r="P36" s="55">
        <f t="shared" si="5"/>
        <v>516872000</v>
      </c>
      <c r="Q36" s="55">
        <f t="shared" si="5"/>
        <v>615985000</v>
      </c>
      <c r="R36" s="55">
        <f t="shared" si="5"/>
        <v>5926568000</v>
      </c>
    </row>
    <row r="37" spans="6:18" ht="11.25"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 t="s">
        <v>60</v>
      </c>
    </row>
    <row r="38" spans="1:18" ht="11.25">
      <c r="A38" s="15" t="s">
        <v>51</v>
      </c>
      <c r="B38" s="15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11.25">
      <c r="A39" s="15"/>
      <c r="B39" s="15" t="s">
        <v>50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3:18" ht="12" thickBot="1">
      <c r="C40" s="5" t="s">
        <v>52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f>SUM(F40:Q40)</f>
        <v>0</v>
      </c>
    </row>
    <row r="41" spans="6:18" ht="12" thickTop="1">
      <c r="F41" s="48" t="s">
        <v>60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6:18" ht="11.25"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6:18" ht="11.25"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6:18" ht="11.25"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6:18" ht="11.25"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6:18" ht="11.25"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6:18" ht="11.25"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4:18" ht="11.25">
      <c r="D48" s="1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4:18" ht="11.25">
      <c r="D49" s="2"/>
      <c r="E49" s="3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1.25">
      <c r="A50" s="13" t="s">
        <v>0</v>
      </c>
      <c r="B50" s="14"/>
      <c r="C50" s="14"/>
      <c r="D50" s="14"/>
      <c r="E50" s="14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11.25">
      <c r="A51" s="13" t="s">
        <v>1</v>
      </c>
      <c r="B51" s="14"/>
      <c r="C51" s="14"/>
      <c r="D51" s="14"/>
      <c r="E51" s="14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1.25">
      <c r="A52" s="13" t="s">
        <v>119</v>
      </c>
      <c r="B52" s="14"/>
      <c r="C52" s="14"/>
      <c r="D52" s="14"/>
      <c r="E52" s="14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11.25">
      <c r="A53" s="13" t="str">
        <f>Summary!$A$4</f>
        <v>PUB    2002</v>
      </c>
      <c r="B53" s="14"/>
      <c r="C53" s="14"/>
      <c r="D53" s="14"/>
      <c r="E53" s="14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1.25">
      <c r="A54" s="4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6:18" ht="11.25"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6:18" ht="11.25">
      <c r="F56" s="57" t="s">
        <v>3</v>
      </c>
      <c r="G56" s="57" t="s">
        <v>4</v>
      </c>
      <c r="H56" s="57" t="s">
        <v>5</v>
      </c>
      <c r="I56" s="57" t="s">
        <v>6</v>
      </c>
      <c r="J56" s="57" t="s">
        <v>7</v>
      </c>
      <c r="K56" s="57" t="s">
        <v>8</v>
      </c>
      <c r="L56" s="57" t="s">
        <v>9</v>
      </c>
      <c r="M56" s="57" t="s">
        <v>10</v>
      </c>
      <c r="N56" s="57" t="s">
        <v>11</v>
      </c>
      <c r="O56" s="57" t="s">
        <v>12</v>
      </c>
      <c r="P56" s="57" t="s">
        <v>13</v>
      </c>
      <c r="Q56" s="57" t="s">
        <v>14</v>
      </c>
      <c r="R56" s="57" t="s">
        <v>61</v>
      </c>
    </row>
    <row r="57" spans="6:18" ht="11.25"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18" ht="11.25">
      <c r="A58" s="15" t="s">
        <v>49</v>
      </c>
      <c r="B58" s="15"/>
      <c r="C58" s="15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8" ht="11.25">
      <c r="A59" s="15"/>
      <c r="B59" s="15" t="s">
        <v>50</v>
      </c>
      <c r="C59" s="15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</row>
    <row r="60" spans="3:18" ht="11.25">
      <c r="C60" s="5" t="s">
        <v>52</v>
      </c>
      <c r="F60" s="48">
        <v>533100000</v>
      </c>
      <c r="G60" s="48">
        <v>471700000</v>
      </c>
      <c r="H60" s="48">
        <v>476800000</v>
      </c>
      <c r="I60" s="48">
        <v>383000000</v>
      </c>
      <c r="J60" s="48">
        <v>329900000</v>
      </c>
      <c r="K60" s="48">
        <v>273100000</v>
      </c>
      <c r="L60" s="48">
        <v>253400000</v>
      </c>
      <c r="M60" s="48">
        <v>247700000</v>
      </c>
      <c r="N60" s="48">
        <v>267000000</v>
      </c>
      <c r="O60" s="48">
        <v>331000000</v>
      </c>
      <c r="P60" s="48">
        <v>395100000</v>
      </c>
      <c r="Q60" s="48">
        <v>493000000</v>
      </c>
      <c r="R60" s="48">
        <f>SUM(F60:Q60)</f>
        <v>4454800000</v>
      </c>
    </row>
    <row r="61" spans="6:18" ht="11.25"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spans="6:18" ht="11.25">
      <c r="F62" s="50">
        <f aca="true" t="shared" si="6" ref="F62:Q62">SUM(F60:F61)</f>
        <v>533100000</v>
      </c>
      <c r="G62" s="50">
        <f t="shared" si="6"/>
        <v>471700000</v>
      </c>
      <c r="H62" s="50">
        <f t="shared" si="6"/>
        <v>476800000</v>
      </c>
      <c r="I62" s="50">
        <f t="shared" si="6"/>
        <v>383000000</v>
      </c>
      <c r="J62" s="50">
        <f t="shared" si="6"/>
        <v>329900000</v>
      </c>
      <c r="K62" s="50">
        <f t="shared" si="6"/>
        <v>273100000</v>
      </c>
      <c r="L62" s="50">
        <f t="shared" si="6"/>
        <v>253400000</v>
      </c>
      <c r="M62" s="50">
        <f t="shared" si="6"/>
        <v>247700000</v>
      </c>
      <c r="N62" s="50">
        <f t="shared" si="6"/>
        <v>267000000</v>
      </c>
      <c r="O62" s="50">
        <f t="shared" si="6"/>
        <v>331000000</v>
      </c>
      <c r="P62" s="50">
        <f t="shared" si="6"/>
        <v>395100000</v>
      </c>
      <c r="Q62" s="50">
        <f t="shared" si="6"/>
        <v>493000000</v>
      </c>
      <c r="R62" s="50">
        <f>SUM(F62:Q62)</f>
        <v>4454800000</v>
      </c>
    </row>
    <row r="63" spans="6:18" ht="11.25"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6:18" ht="11.25"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</row>
    <row r="65" spans="2:18" ht="11.25">
      <c r="B65" s="15" t="s">
        <v>80</v>
      </c>
      <c r="F65" s="48"/>
      <c r="G65" s="48"/>
      <c r="H65" s="48"/>
      <c r="I65" s="48" t="s">
        <v>60</v>
      </c>
      <c r="J65" s="48"/>
      <c r="K65" s="48"/>
      <c r="L65" s="48"/>
      <c r="M65" s="48"/>
      <c r="N65" s="48"/>
      <c r="O65" s="48"/>
      <c r="P65" s="48"/>
      <c r="Q65" s="48"/>
      <c r="R65" s="48" t="s">
        <v>60</v>
      </c>
    </row>
    <row r="66" spans="3:18" ht="11.25">
      <c r="C66" s="5" t="s">
        <v>53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</row>
    <row r="67" spans="4:18" ht="11.25">
      <c r="D67" s="20" t="s">
        <v>54</v>
      </c>
      <c r="F67" s="48">
        <v>12500000</v>
      </c>
      <c r="G67" s="48">
        <v>11290000</v>
      </c>
      <c r="H67" s="48">
        <v>12500000</v>
      </c>
      <c r="I67" s="48">
        <v>12380000</v>
      </c>
      <c r="J67" s="48">
        <v>12800000</v>
      </c>
      <c r="K67" s="48">
        <v>10080000</v>
      </c>
      <c r="L67" s="48">
        <v>11610000</v>
      </c>
      <c r="M67" s="48">
        <v>12200000</v>
      </c>
      <c r="N67" s="48">
        <v>11420000</v>
      </c>
      <c r="O67" s="48">
        <v>11610000</v>
      </c>
      <c r="P67" s="48">
        <v>11230000</v>
      </c>
      <c r="Q67" s="48">
        <v>11660000</v>
      </c>
      <c r="R67" s="48">
        <f>SUM(F67:Q67)</f>
        <v>141280000</v>
      </c>
    </row>
    <row r="68" spans="4:18" ht="11.25">
      <c r="D68" s="20" t="s">
        <v>55</v>
      </c>
      <c r="F68" s="48">
        <v>290000</v>
      </c>
      <c r="G68" s="48">
        <v>260000</v>
      </c>
      <c r="H68" s="48">
        <v>290000</v>
      </c>
      <c r="I68" s="48">
        <v>600000</v>
      </c>
      <c r="J68" s="48">
        <v>410000</v>
      </c>
      <c r="K68" s="48">
        <v>270000</v>
      </c>
      <c r="L68" s="48">
        <v>490000</v>
      </c>
      <c r="M68" s="48">
        <v>490000</v>
      </c>
      <c r="N68" s="48">
        <v>310000</v>
      </c>
      <c r="O68" s="48">
        <v>490000</v>
      </c>
      <c r="P68" s="48">
        <v>470000</v>
      </c>
      <c r="Q68" s="48">
        <v>640000</v>
      </c>
      <c r="R68" s="48">
        <f>SUM(F68:Q68)</f>
        <v>5010000</v>
      </c>
    </row>
    <row r="69" spans="6:18" ht="11.25">
      <c r="F69" s="49">
        <f aca="true" t="shared" si="7" ref="F69:Q69">SUM(F67:F68)</f>
        <v>12790000</v>
      </c>
      <c r="G69" s="49">
        <f t="shared" si="7"/>
        <v>11550000</v>
      </c>
      <c r="H69" s="49">
        <f t="shared" si="7"/>
        <v>12790000</v>
      </c>
      <c r="I69" s="49">
        <f t="shared" si="7"/>
        <v>12980000</v>
      </c>
      <c r="J69" s="49">
        <f t="shared" si="7"/>
        <v>13210000</v>
      </c>
      <c r="K69" s="49">
        <f t="shared" si="7"/>
        <v>10350000</v>
      </c>
      <c r="L69" s="49">
        <f t="shared" si="7"/>
        <v>12100000</v>
      </c>
      <c r="M69" s="49">
        <f t="shared" si="7"/>
        <v>12690000</v>
      </c>
      <c r="N69" s="49">
        <f t="shared" si="7"/>
        <v>11730000</v>
      </c>
      <c r="O69" s="49">
        <f t="shared" si="7"/>
        <v>12100000</v>
      </c>
      <c r="P69" s="49">
        <f t="shared" si="7"/>
        <v>11700000</v>
      </c>
      <c r="Q69" s="49">
        <f t="shared" si="7"/>
        <v>12300000</v>
      </c>
      <c r="R69" s="49">
        <f>SUM(F69:Q69)</f>
        <v>146290000</v>
      </c>
    </row>
    <row r="70" spans="6:18" ht="11.25"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 t="s">
        <v>60</v>
      </c>
    </row>
    <row r="71" spans="3:18" ht="11.25">
      <c r="C71" s="5" t="s">
        <v>56</v>
      </c>
      <c r="F71" s="48">
        <v>47376000</v>
      </c>
      <c r="G71" s="48">
        <v>44218000</v>
      </c>
      <c r="H71" s="48">
        <v>48955000</v>
      </c>
      <c r="I71" s="48">
        <v>47376000</v>
      </c>
      <c r="J71" s="48">
        <v>45797000</v>
      </c>
      <c r="K71" s="48">
        <v>47376000</v>
      </c>
      <c r="L71" s="48">
        <v>48955000</v>
      </c>
      <c r="M71" s="48">
        <v>48955000</v>
      </c>
      <c r="N71" s="48">
        <v>45797000</v>
      </c>
      <c r="O71" s="48">
        <v>48955000</v>
      </c>
      <c r="P71" s="48">
        <v>47376000</v>
      </c>
      <c r="Q71" s="48">
        <v>46376000</v>
      </c>
      <c r="R71" s="48">
        <f>SUM(F71:Q71)</f>
        <v>567512000</v>
      </c>
    </row>
    <row r="72" spans="3:18" ht="11.25">
      <c r="C72" s="5" t="s">
        <v>57</v>
      </c>
      <c r="F72" s="48">
        <v>1460000</v>
      </c>
      <c r="G72" s="48">
        <v>1320000</v>
      </c>
      <c r="H72" s="48">
        <v>1460000</v>
      </c>
      <c r="I72" s="48">
        <v>1410000</v>
      </c>
      <c r="J72" s="48">
        <v>1460000</v>
      </c>
      <c r="K72" s="48">
        <v>1410000</v>
      </c>
      <c r="L72" s="48">
        <v>1460000</v>
      </c>
      <c r="M72" s="48">
        <v>1460000</v>
      </c>
      <c r="N72" s="48">
        <v>1410000</v>
      </c>
      <c r="O72" s="48">
        <v>1360000</v>
      </c>
      <c r="P72" s="48">
        <v>1410000</v>
      </c>
      <c r="Q72" s="48">
        <v>1460000</v>
      </c>
      <c r="R72" s="48">
        <f>SUM(F72:Q72)</f>
        <v>17080000</v>
      </c>
    </row>
    <row r="73" spans="3:18" ht="11.25">
      <c r="C73" s="5" t="s">
        <v>58</v>
      </c>
      <c r="F73" s="48">
        <v>43173000</v>
      </c>
      <c r="G73" s="48">
        <v>39086000</v>
      </c>
      <c r="H73" s="48">
        <v>43183000</v>
      </c>
      <c r="I73" s="48">
        <v>41498000</v>
      </c>
      <c r="J73" s="48">
        <v>42364000</v>
      </c>
      <c r="K73" s="48">
        <v>41003000</v>
      </c>
      <c r="L73" s="48">
        <v>42365000</v>
      </c>
      <c r="M73" s="48">
        <v>42365000</v>
      </c>
      <c r="N73" s="48">
        <v>40998000</v>
      </c>
      <c r="O73" s="48">
        <v>41094000</v>
      </c>
      <c r="P73" s="48">
        <v>40998000</v>
      </c>
      <c r="Q73" s="48">
        <v>42361000</v>
      </c>
      <c r="R73" s="48">
        <f>SUM(F73:Q73)</f>
        <v>500488000</v>
      </c>
    </row>
    <row r="74" spans="3:18" ht="11.25">
      <c r="C74" s="5" t="s">
        <v>59</v>
      </c>
      <c r="F74" s="48">
        <v>20500000</v>
      </c>
      <c r="G74" s="48">
        <v>20400000</v>
      </c>
      <c r="H74" s="48">
        <v>20200000</v>
      </c>
      <c r="I74" s="48">
        <v>19900000</v>
      </c>
      <c r="J74" s="48">
        <v>12500000</v>
      </c>
      <c r="K74" s="48">
        <v>19900000</v>
      </c>
      <c r="L74" s="48">
        <v>19700000</v>
      </c>
      <c r="M74" s="48">
        <v>19700000</v>
      </c>
      <c r="N74" s="48">
        <v>19900000</v>
      </c>
      <c r="O74" s="48">
        <v>20300000</v>
      </c>
      <c r="P74" s="48">
        <v>20200000</v>
      </c>
      <c r="Q74" s="48">
        <v>20400000</v>
      </c>
      <c r="R74" s="48">
        <f>SUM(F74:Q74)</f>
        <v>233600000</v>
      </c>
    </row>
    <row r="75" spans="6:18" ht="11.25">
      <c r="F75" s="48" t="s">
        <v>60</v>
      </c>
      <c r="G75" s="48" t="s">
        <v>60</v>
      </c>
      <c r="H75" s="48" t="s">
        <v>60</v>
      </c>
      <c r="I75" s="48" t="s">
        <v>60</v>
      </c>
      <c r="J75" s="48" t="s">
        <v>60</v>
      </c>
      <c r="K75" s="48" t="s">
        <v>60</v>
      </c>
      <c r="L75" s="48" t="s">
        <v>60</v>
      </c>
      <c r="M75" s="48" t="s">
        <v>60</v>
      </c>
      <c r="N75" s="48" t="s">
        <v>60</v>
      </c>
      <c r="O75" s="48" t="s">
        <v>60</v>
      </c>
      <c r="P75" s="48" t="s">
        <v>60</v>
      </c>
      <c r="Q75" s="48" t="s">
        <v>60</v>
      </c>
      <c r="R75" s="48"/>
    </row>
    <row r="76" spans="6:18" ht="11.25">
      <c r="F76" s="50">
        <f aca="true" t="shared" si="8" ref="F76:Q76">SUM(F69:F75)</f>
        <v>125299000</v>
      </c>
      <c r="G76" s="50">
        <f t="shared" si="8"/>
        <v>116574000</v>
      </c>
      <c r="H76" s="50">
        <f t="shared" si="8"/>
        <v>126588000</v>
      </c>
      <c r="I76" s="50">
        <f t="shared" si="8"/>
        <v>123164000</v>
      </c>
      <c r="J76" s="50">
        <f t="shared" si="8"/>
        <v>115331000</v>
      </c>
      <c r="K76" s="50">
        <f t="shared" si="8"/>
        <v>120039000</v>
      </c>
      <c r="L76" s="50">
        <f t="shared" si="8"/>
        <v>124580000</v>
      </c>
      <c r="M76" s="50">
        <f t="shared" si="8"/>
        <v>125170000</v>
      </c>
      <c r="N76" s="50">
        <f t="shared" si="8"/>
        <v>119835000</v>
      </c>
      <c r="O76" s="50">
        <f t="shared" si="8"/>
        <v>123809000</v>
      </c>
      <c r="P76" s="50">
        <f t="shared" si="8"/>
        <v>121684000</v>
      </c>
      <c r="Q76" s="50">
        <f t="shared" si="8"/>
        <v>122897000</v>
      </c>
      <c r="R76" s="50">
        <f>SUM(F76:Q76)</f>
        <v>1464970000</v>
      </c>
    </row>
    <row r="77" spans="6:18" ht="11.25"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6:18" ht="12" thickBot="1">
      <c r="F78" s="51">
        <f aca="true" t="shared" si="9" ref="F78:Q78">+F62+F76</f>
        <v>658399000</v>
      </c>
      <c r="G78" s="51">
        <f t="shared" si="9"/>
        <v>588274000</v>
      </c>
      <c r="H78" s="51">
        <f t="shared" si="9"/>
        <v>603388000</v>
      </c>
      <c r="I78" s="51">
        <f t="shared" si="9"/>
        <v>506164000</v>
      </c>
      <c r="J78" s="51">
        <f t="shared" si="9"/>
        <v>445231000</v>
      </c>
      <c r="K78" s="51">
        <f t="shared" si="9"/>
        <v>393139000</v>
      </c>
      <c r="L78" s="51">
        <f t="shared" si="9"/>
        <v>377980000</v>
      </c>
      <c r="M78" s="51">
        <f t="shared" si="9"/>
        <v>372870000</v>
      </c>
      <c r="N78" s="51">
        <f t="shared" si="9"/>
        <v>386835000</v>
      </c>
      <c r="O78" s="51">
        <f t="shared" si="9"/>
        <v>454809000</v>
      </c>
      <c r="P78" s="51">
        <f t="shared" si="9"/>
        <v>516784000</v>
      </c>
      <c r="Q78" s="51">
        <f t="shared" si="9"/>
        <v>615897000</v>
      </c>
      <c r="R78" s="51">
        <f>SUM(F78:Q78)</f>
        <v>5919770000</v>
      </c>
    </row>
    <row r="79" spans="6:18" ht="12" thickTop="1"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2:18" ht="11.25">
      <c r="B80" s="5" t="s">
        <v>116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3:18" ht="11.25">
      <c r="C81" s="5" t="s">
        <v>58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53">
        <v>3152000</v>
      </c>
      <c r="O81" s="53">
        <v>2590000</v>
      </c>
      <c r="P81" s="48">
        <v>0</v>
      </c>
      <c r="Q81" s="48">
        <v>0</v>
      </c>
      <c r="R81" s="48">
        <f>SUM(F81:Q81)</f>
        <v>5742000</v>
      </c>
    </row>
    <row r="82" spans="3:18" ht="11.25">
      <c r="C82" s="5" t="s">
        <v>56</v>
      </c>
      <c r="F82" s="53">
        <v>88000</v>
      </c>
      <c r="G82" s="53">
        <v>82000</v>
      </c>
      <c r="H82" s="53">
        <v>91000</v>
      </c>
      <c r="I82" s="53">
        <v>88000</v>
      </c>
      <c r="J82" s="53">
        <v>85000</v>
      </c>
      <c r="K82" s="53">
        <v>88000</v>
      </c>
      <c r="L82" s="53">
        <v>91000</v>
      </c>
      <c r="M82" s="53">
        <v>91000</v>
      </c>
      <c r="N82" s="53">
        <v>85000</v>
      </c>
      <c r="O82" s="53">
        <v>91000</v>
      </c>
      <c r="P82" s="53">
        <v>88000</v>
      </c>
      <c r="Q82" s="53">
        <v>88000</v>
      </c>
      <c r="R82" s="48">
        <f>SUM(F82:Q82)</f>
        <v>1056000</v>
      </c>
    </row>
    <row r="83" spans="2:18" ht="12" thickBot="1">
      <c r="B83" s="5" t="s">
        <v>118</v>
      </c>
      <c r="F83" s="54">
        <f aca="true" t="shared" si="10" ref="F83:R83">SUM(F81:F82)</f>
        <v>88000</v>
      </c>
      <c r="G83" s="54">
        <f t="shared" si="10"/>
        <v>82000</v>
      </c>
      <c r="H83" s="54">
        <f t="shared" si="10"/>
        <v>91000</v>
      </c>
      <c r="I83" s="54">
        <f t="shared" si="10"/>
        <v>88000</v>
      </c>
      <c r="J83" s="54">
        <f t="shared" si="10"/>
        <v>85000</v>
      </c>
      <c r="K83" s="54">
        <f t="shared" si="10"/>
        <v>88000</v>
      </c>
      <c r="L83" s="54">
        <f t="shared" si="10"/>
        <v>91000</v>
      </c>
      <c r="M83" s="54">
        <f t="shared" si="10"/>
        <v>91000</v>
      </c>
      <c r="N83" s="54">
        <f t="shared" si="10"/>
        <v>3237000</v>
      </c>
      <c r="O83" s="54">
        <f t="shared" si="10"/>
        <v>2681000</v>
      </c>
      <c r="P83" s="54">
        <f t="shared" si="10"/>
        <v>88000</v>
      </c>
      <c r="Q83" s="54">
        <f t="shared" si="10"/>
        <v>88000</v>
      </c>
      <c r="R83" s="54">
        <f t="shared" si="10"/>
        <v>6798000</v>
      </c>
    </row>
    <row r="84" spans="6:18" ht="12" thickTop="1"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2:18" ht="12" thickBot="1">
      <c r="B85" s="15" t="s">
        <v>61</v>
      </c>
      <c r="F85" s="55">
        <f>+F78+F83</f>
        <v>658487000</v>
      </c>
      <c r="G85" s="55">
        <f aca="true" t="shared" si="11" ref="G85:R85">+G78+G83</f>
        <v>588356000</v>
      </c>
      <c r="H85" s="55">
        <f t="shared" si="11"/>
        <v>603479000</v>
      </c>
      <c r="I85" s="55">
        <f t="shared" si="11"/>
        <v>506252000</v>
      </c>
      <c r="J85" s="55">
        <f t="shared" si="11"/>
        <v>445316000</v>
      </c>
      <c r="K85" s="55">
        <f t="shared" si="11"/>
        <v>393227000</v>
      </c>
      <c r="L85" s="55">
        <f t="shared" si="11"/>
        <v>378071000</v>
      </c>
      <c r="M85" s="55">
        <f t="shared" si="11"/>
        <v>372961000</v>
      </c>
      <c r="N85" s="55">
        <f t="shared" si="11"/>
        <v>390072000</v>
      </c>
      <c r="O85" s="55">
        <f t="shared" si="11"/>
        <v>457490000</v>
      </c>
      <c r="P85" s="55">
        <f t="shared" si="11"/>
        <v>516872000</v>
      </c>
      <c r="Q85" s="55">
        <f t="shared" si="11"/>
        <v>615985000</v>
      </c>
      <c r="R85" s="55">
        <f t="shared" si="11"/>
        <v>5926568000</v>
      </c>
    </row>
    <row r="86" spans="6:18" ht="11.25"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</row>
    <row r="87" spans="1:18" ht="11.25">
      <c r="A87" s="15" t="s">
        <v>51</v>
      </c>
      <c r="B87" s="15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1:18" ht="11.25">
      <c r="A88" s="15"/>
      <c r="B88" s="15" t="s">
        <v>50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</row>
    <row r="89" spans="3:18" ht="12" thickBot="1">
      <c r="C89" s="5" t="s">
        <v>52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f>SUM(F89:Q89)</f>
        <v>0</v>
      </c>
    </row>
    <row r="90" spans="6:18" ht="12" thickTop="1"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6:18" ht="11.25"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6:18" ht="11.25"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6:18" ht="11.25"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6:18" ht="11.25"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</row>
    <row r="95" spans="6:18" ht="11.25"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</row>
    <row r="96" spans="6:18" ht="11.25"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</row>
    <row r="97" spans="4:18" ht="11.25">
      <c r="D97" s="1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</row>
    <row r="98" spans="4:18" ht="11.25">
      <c r="D98" s="2"/>
      <c r="E98" s="3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</row>
    <row r="99" spans="1:18" ht="11.25">
      <c r="A99" s="13" t="s">
        <v>0</v>
      </c>
      <c r="B99" s="14"/>
      <c r="C99" s="14"/>
      <c r="D99" s="14"/>
      <c r="E99" s="14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1.25">
      <c r="A100" s="13" t="s">
        <v>1</v>
      </c>
      <c r="B100" s="14"/>
      <c r="C100" s="14"/>
      <c r="D100" s="14"/>
      <c r="E100" s="14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1.25">
      <c r="A101" s="13" t="s">
        <v>63</v>
      </c>
      <c r="B101" s="14"/>
      <c r="C101" s="14"/>
      <c r="D101" s="14"/>
      <c r="E101" s="14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1.25">
      <c r="A102" s="13" t="str">
        <f>Summary!$A$4</f>
        <v>PUB    2002</v>
      </c>
      <c r="B102" s="14"/>
      <c r="C102" s="14"/>
      <c r="D102" s="14"/>
      <c r="E102" s="14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1.25">
      <c r="A103" s="4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</row>
    <row r="104" spans="6:18" ht="11.25"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</row>
    <row r="105" spans="6:18" ht="11.25">
      <c r="F105" s="57" t="s">
        <v>3</v>
      </c>
      <c r="G105" s="57" t="s">
        <v>4</v>
      </c>
      <c r="H105" s="57" t="s">
        <v>5</v>
      </c>
      <c r="I105" s="57" t="s">
        <v>6</v>
      </c>
      <c r="J105" s="57" t="s">
        <v>7</v>
      </c>
      <c r="K105" s="57" t="s">
        <v>8</v>
      </c>
      <c r="L105" s="57" t="s">
        <v>9</v>
      </c>
      <c r="M105" s="57" t="s">
        <v>10</v>
      </c>
      <c r="N105" s="57" t="s">
        <v>11</v>
      </c>
      <c r="O105" s="57" t="s">
        <v>12</v>
      </c>
      <c r="P105" s="57" t="s">
        <v>13</v>
      </c>
      <c r="Q105" s="57" t="s">
        <v>14</v>
      </c>
      <c r="R105" s="57" t="s">
        <v>61</v>
      </c>
    </row>
    <row r="106" spans="6:18" ht="11.25"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</row>
    <row r="107" spans="1:18" ht="11.25">
      <c r="A107" s="15" t="s">
        <v>49</v>
      </c>
      <c r="B107" s="15"/>
      <c r="C107" s="15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</row>
    <row r="108" spans="1:18" ht="11.25">
      <c r="A108" s="15"/>
      <c r="B108" s="15" t="s">
        <v>50</v>
      </c>
      <c r="C108" s="15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</row>
    <row r="109" spans="3:18" ht="11.25">
      <c r="C109" s="5" t="s">
        <v>52</v>
      </c>
      <c r="F109" s="48">
        <f aca="true" t="shared" si="12" ref="F109:Q109">+F11-F60</f>
        <v>0</v>
      </c>
      <c r="G109" s="48">
        <f t="shared" si="12"/>
        <v>0</v>
      </c>
      <c r="H109" s="48">
        <f t="shared" si="12"/>
        <v>0</v>
      </c>
      <c r="I109" s="48">
        <f t="shared" si="12"/>
        <v>0</v>
      </c>
      <c r="J109" s="48">
        <f t="shared" si="12"/>
        <v>0</v>
      </c>
      <c r="K109" s="48">
        <f t="shared" si="12"/>
        <v>0</v>
      </c>
      <c r="L109" s="48">
        <f t="shared" si="12"/>
        <v>0</v>
      </c>
      <c r="M109" s="48">
        <f t="shared" si="12"/>
        <v>0</v>
      </c>
      <c r="N109" s="48">
        <f t="shared" si="12"/>
        <v>0</v>
      </c>
      <c r="O109" s="48">
        <f t="shared" si="12"/>
        <v>0</v>
      </c>
      <c r="P109" s="48">
        <f t="shared" si="12"/>
        <v>0</v>
      </c>
      <c r="Q109" s="48">
        <f t="shared" si="12"/>
        <v>0</v>
      </c>
      <c r="R109" s="48">
        <f>SUM(F109:Q109)</f>
        <v>0</v>
      </c>
    </row>
    <row r="110" spans="6:18" ht="11.25"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</row>
    <row r="111" spans="6:18" ht="11.25">
      <c r="F111" s="50">
        <f>SUM(F109:F110)</f>
        <v>0</v>
      </c>
      <c r="G111" s="50">
        <f aca="true" t="shared" si="13" ref="G111:Q111">SUM(G109:G110)</f>
        <v>0</v>
      </c>
      <c r="H111" s="50">
        <f t="shared" si="13"/>
        <v>0</v>
      </c>
      <c r="I111" s="50">
        <f t="shared" si="13"/>
        <v>0</v>
      </c>
      <c r="J111" s="50">
        <f t="shared" si="13"/>
        <v>0</v>
      </c>
      <c r="K111" s="50">
        <f t="shared" si="13"/>
        <v>0</v>
      </c>
      <c r="L111" s="50">
        <f t="shared" si="13"/>
        <v>0</v>
      </c>
      <c r="M111" s="50">
        <f t="shared" si="13"/>
        <v>0</v>
      </c>
      <c r="N111" s="50">
        <f t="shared" si="13"/>
        <v>0</v>
      </c>
      <c r="O111" s="50">
        <f t="shared" si="13"/>
        <v>0</v>
      </c>
      <c r="P111" s="50">
        <f t="shared" si="13"/>
        <v>0</v>
      </c>
      <c r="Q111" s="50">
        <f t="shared" si="13"/>
        <v>0</v>
      </c>
      <c r="R111" s="50">
        <f>SUM(F111:Q111)</f>
        <v>0</v>
      </c>
    </row>
    <row r="112" spans="6:18" ht="11.25"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6:18" ht="11.25"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</row>
    <row r="114" spans="2:18" ht="11.25">
      <c r="B114" s="15" t="s">
        <v>80</v>
      </c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</row>
    <row r="115" spans="3:18" ht="11.25">
      <c r="C115" s="5" t="s">
        <v>53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</row>
    <row r="116" spans="4:18" ht="11.25">
      <c r="D116" s="20" t="s">
        <v>54</v>
      </c>
      <c r="F116" s="48">
        <f aca="true" t="shared" si="14" ref="F116:Q116">+F18-F67</f>
        <v>0</v>
      </c>
      <c r="G116" s="48">
        <f t="shared" si="14"/>
        <v>0</v>
      </c>
      <c r="H116" s="48">
        <f t="shared" si="14"/>
        <v>0</v>
      </c>
      <c r="I116" s="48">
        <f t="shared" si="14"/>
        <v>0</v>
      </c>
      <c r="J116" s="48">
        <f t="shared" si="14"/>
        <v>0</v>
      </c>
      <c r="K116" s="48">
        <f t="shared" si="14"/>
        <v>0</v>
      </c>
      <c r="L116" s="48">
        <f t="shared" si="14"/>
        <v>0</v>
      </c>
      <c r="M116" s="48">
        <f t="shared" si="14"/>
        <v>0</v>
      </c>
      <c r="N116" s="48">
        <f t="shared" si="14"/>
        <v>0</v>
      </c>
      <c r="O116" s="48">
        <f t="shared" si="14"/>
        <v>0</v>
      </c>
      <c r="P116" s="48">
        <f t="shared" si="14"/>
        <v>0</v>
      </c>
      <c r="Q116" s="48">
        <f t="shared" si="14"/>
        <v>0</v>
      </c>
      <c r="R116" s="48">
        <f>SUM(F116:Q116)</f>
        <v>0</v>
      </c>
    </row>
    <row r="117" spans="4:18" ht="11.25">
      <c r="D117" s="20" t="s">
        <v>55</v>
      </c>
      <c r="F117" s="48">
        <f aca="true" t="shared" si="15" ref="F117:Q117">+F19-F68</f>
        <v>0</v>
      </c>
      <c r="G117" s="48">
        <f t="shared" si="15"/>
        <v>0</v>
      </c>
      <c r="H117" s="48">
        <f t="shared" si="15"/>
        <v>0</v>
      </c>
      <c r="I117" s="48">
        <f t="shared" si="15"/>
        <v>0</v>
      </c>
      <c r="J117" s="48">
        <f t="shared" si="15"/>
        <v>0</v>
      </c>
      <c r="K117" s="48">
        <f t="shared" si="15"/>
        <v>0</v>
      </c>
      <c r="L117" s="48">
        <f t="shared" si="15"/>
        <v>0</v>
      </c>
      <c r="M117" s="48">
        <f t="shared" si="15"/>
        <v>0</v>
      </c>
      <c r="N117" s="48">
        <f t="shared" si="15"/>
        <v>0</v>
      </c>
      <c r="O117" s="48">
        <f t="shared" si="15"/>
        <v>0</v>
      </c>
      <c r="P117" s="48">
        <f t="shared" si="15"/>
        <v>0</v>
      </c>
      <c r="Q117" s="48">
        <f t="shared" si="15"/>
        <v>0</v>
      </c>
      <c r="R117" s="48">
        <f>SUM(F117:Q117)</f>
        <v>0</v>
      </c>
    </row>
    <row r="118" spans="6:18" ht="11.25">
      <c r="F118" s="49">
        <f>SUM(F116:F117)</f>
        <v>0</v>
      </c>
      <c r="G118" s="49">
        <f aca="true" t="shared" si="16" ref="G118:Q118">SUM(G116:G117)</f>
        <v>0</v>
      </c>
      <c r="H118" s="49">
        <f t="shared" si="16"/>
        <v>0</v>
      </c>
      <c r="I118" s="49">
        <f t="shared" si="16"/>
        <v>0</v>
      </c>
      <c r="J118" s="49">
        <f t="shared" si="16"/>
        <v>0</v>
      </c>
      <c r="K118" s="49">
        <f t="shared" si="16"/>
        <v>0</v>
      </c>
      <c r="L118" s="49">
        <f t="shared" si="16"/>
        <v>0</v>
      </c>
      <c r="M118" s="49">
        <f t="shared" si="16"/>
        <v>0</v>
      </c>
      <c r="N118" s="49">
        <f t="shared" si="16"/>
        <v>0</v>
      </c>
      <c r="O118" s="49">
        <f t="shared" si="16"/>
        <v>0</v>
      </c>
      <c r="P118" s="49">
        <f t="shared" si="16"/>
        <v>0</v>
      </c>
      <c r="Q118" s="49">
        <f t="shared" si="16"/>
        <v>0</v>
      </c>
      <c r="R118" s="49">
        <f>SUM(F118:Q118)</f>
        <v>0</v>
      </c>
    </row>
    <row r="119" spans="6:18" ht="11.25"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</row>
    <row r="120" spans="3:18" ht="11.25">
      <c r="C120" s="5" t="s">
        <v>56</v>
      </c>
      <c r="F120" s="48">
        <f aca="true" t="shared" si="17" ref="F120:Q120">+F22-F71</f>
        <v>0</v>
      </c>
      <c r="G120" s="48">
        <f t="shared" si="17"/>
        <v>0</v>
      </c>
      <c r="H120" s="48">
        <f t="shared" si="17"/>
        <v>0</v>
      </c>
      <c r="I120" s="48">
        <f t="shared" si="17"/>
        <v>0</v>
      </c>
      <c r="J120" s="48">
        <f t="shared" si="17"/>
        <v>0</v>
      </c>
      <c r="K120" s="48">
        <f t="shared" si="17"/>
        <v>0</v>
      </c>
      <c r="L120" s="48">
        <f t="shared" si="17"/>
        <v>0</v>
      </c>
      <c r="M120" s="48">
        <f t="shared" si="17"/>
        <v>0</v>
      </c>
      <c r="N120" s="48">
        <f t="shared" si="17"/>
        <v>0</v>
      </c>
      <c r="O120" s="48">
        <f t="shared" si="17"/>
        <v>0</v>
      </c>
      <c r="P120" s="48">
        <f t="shared" si="17"/>
        <v>0</v>
      </c>
      <c r="Q120" s="48">
        <f t="shared" si="17"/>
        <v>0</v>
      </c>
      <c r="R120" s="48">
        <f>SUM(F120:Q120)</f>
        <v>0</v>
      </c>
    </row>
    <row r="121" spans="3:18" ht="11.25">
      <c r="C121" s="5" t="s">
        <v>57</v>
      </c>
      <c r="F121" s="48">
        <f aca="true" t="shared" si="18" ref="F121:Q121">+F23-F72</f>
        <v>0</v>
      </c>
      <c r="G121" s="48">
        <f t="shared" si="18"/>
        <v>0</v>
      </c>
      <c r="H121" s="48">
        <f t="shared" si="18"/>
        <v>0</v>
      </c>
      <c r="I121" s="48">
        <f t="shared" si="18"/>
        <v>0</v>
      </c>
      <c r="J121" s="48">
        <f t="shared" si="18"/>
        <v>0</v>
      </c>
      <c r="K121" s="48">
        <f t="shared" si="18"/>
        <v>0</v>
      </c>
      <c r="L121" s="48">
        <f t="shared" si="18"/>
        <v>0</v>
      </c>
      <c r="M121" s="48">
        <f t="shared" si="18"/>
        <v>0</v>
      </c>
      <c r="N121" s="48">
        <f t="shared" si="18"/>
        <v>0</v>
      </c>
      <c r="O121" s="48">
        <f t="shared" si="18"/>
        <v>0</v>
      </c>
      <c r="P121" s="48">
        <f t="shared" si="18"/>
        <v>0</v>
      </c>
      <c r="Q121" s="48">
        <f t="shared" si="18"/>
        <v>0</v>
      </c>
      <c r="R121" s="48">
        <f>SUM(F121:Q121)</f>
        <v>0</v>
      </c>
    </row>
    <row r="122" spans="3:18" ht="11.25">
      <c r="C122" s="5" t="s">
        <v>58</v>
      </c>
      <c r="F122" s="48">
        <f aca="true" t="shared" si="19" ref="F122:Q122">+F24-F73</f>
        <v>0</v>
      </c>
      <c r="G122" s="48">
        <f t="shared" si="19"/>
        <v>0</v>
      </c>
      <c r="H122" s="48">
        <f t="shared" si="19"/>
        <v>0</v>
      </c>
      <c r="I122" s="48">
        <f t="shared" si="19"/>
        <v>0</v>
      </c>
      <c r="J122" s="48">
        <f t="shared" si="19"/>
        <v>0</v>
      </c>
      <c r="K122" s="48">
        <f t="shared" si="19"/>
        <v>0</v>
      </c>
      <c r="L122" s="48">
        <f t="shared" si="19"/>
        <v>0</v>
      </c>
      <c r="M122" s="48">
        <f t="shared" si="19"/>
        <v>0</v>
      </c>
      <c r="N122" s="48">
        <f t="shared" si="19"/>
        <v>0</v>
      </c>
      <c r="O122" s="48">
        <f t="shared" si="19"/>
        <v>0</v>
      </c>
      <c r="P122" s="48">
        <f t="shared" si="19"/>
        <v>0</v>
      </c>
      <c r="Q122" s="48">
        <f t="shared" si="19"/>
        <v>0</v>
      </c>
      <c r="R122" s="48">
        <f>SUM(F122:Q122)</f>
        <v>0</v>
      </c>
    </row>
    <row r="123" spans="3:18" ht="11.25">
      <c r="C123" s="5" t="s">
        <v>59</v>
      </c>
      <c r="F123" s="48">
        <f aca="true" t="shared" si="20" ref="F123:Q123">+F25-F74</f>
        <v>0</v>
      </c>
      <c r="G123" s="48">
        <f t="shared" si="20"/>
        <v>0</v>
      </c>
      <c r="H123" s="48">
        <f t="shared" si="20"/>
        <v>0</v>
      </c>
      <c r="I123" s="48">
        <f t="shared" si="20"/>
        <v>0</v>
      </c>
      <c r="J123" s="48">
        <f t="shared" si="20"/>
        <v>0</v>
      </c>
      <c r="K123" s="48">
        <f t="shared" si="20"/>
        <v>0</v>
      </c>
      <c r="L123" s="48">
        <f t="shared" si="20"/>
        <v>0</v>
      </c>
      <c r="M123" s="48">
        <f t="shared" si="20"/>
        <v>0</v>
      </c>
      <c r="N123" s="48">
        <f t="shared" si="20"/>
        <v>0</v>
      </c>
      <c r="O123" s="48">
        <f t="shared" si="20"/>
        <v>0</v>
      </c>
      <c r="P123" s="48">
        <f t="shared" si="20"/>
        <v>0</v>
      </c>
      <c r="Q123" s="48">
        <f t="shared" si="20"/>
        <v>0</v>
      </c>
      <c r="R123" s="48">
        <f>SUM(F123:Q123)</f>
        <v>0</v>
      </c>
    </row>
    <row r="124" spans="6:18" ht="11.25">
      <c r="F124" s="48" t="s">
        <v>60</v>
      </c>
      <c r="G124" s="48" t="s">
        <v>60</v>
      </c>
      <c r="H124" s="48" t="s">
        <v>60</v>
      </c>
      <c r="I124" s="48" t="s">
        <v>60</v>
      </c>
      <c r="J124" s="48" t="s">
        <v>60</v>
      </c>
      <c r="K124" s="48" t="s">
        <v>60</v>
      </c>
      <c r="L124" s="48" t="s">
        <v>60</v>
      </c>
      <c r="M124" s="48" t="s">
        <v>60</v>
      </c>
      <c r="N124" s="48" t="s">
        <v>60</v>
      </c>
      <c r="O124" s="48" t="s">
        <v>60</v>
      </c>
      <c r="P124" s="48" t="s">
        <v>60</v>
      </c>
      <c r="Q124" s="48" t="s">
        <v>60</v>
      </c>
      <c r="R124" s="48"/>
    </row>
    <row r="125" spans="6:18" ht="11.25">
      <c r="F125" s="50">
        <f aca="true" t="shared" si="21" ref="F125:Q125">SUM(F118:F124)</f>
        <v>0</v>
      </c>
      <c r="G125" s="50">
        <f t="shared" si="21"/>
        <v>0</v>
      </c>
      <c r="H125" s="50">
        <f t="shared" si="21"/>
        <v>0</v>
      </c>
      <c r="I125" s="50">
        <f t="shared" si="21"/>
        <v>0</v>
      </c>
      <c r="J125" s="50">
        <f t="shared" si="21"/>
        <v>0</v>
      </c>
      <c r="K125" s="50">
        <f t="shared" si="21"/>
        <v>0</v>
      </c>
      <c r="L125" s="50">
        <f t="shared" si="21"/>
        <v>0</v>
      </c>
      <c r="M125" s="50">
        <f t="shared" si="21"/>
        <v>0</v>
      </c>
      <c r="N125" s="50">
        <f t="shared" si="21"/>
        <v>0</v>
      </c>
      <c r="O125" s="50">
        <f t="shared" si="21"/>
        <v>0</v>
      </c>
      <c r="P125" s="50">
        <f t="shared" si="21"/>
        <v>0</v>
      </c>
      <c r="Q125" s="50">
        <f t="shared" si="21"/>
        <v>0</v>
      </c>
      <c r="R125" s="50">
        <f>SUM(F125:Q125)</f>
        <v>0</v>
      </c>
    </row>
    <row r="126" spans="6:18" ht="11.25"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</row>
    <row r="127" spans="6:18" ht="12" thickBot="1">
      <c r="F127" s="51">
        <f aca="true" t="shared" si="22" ref="F127:Q127">+F111+F125</f>
        <v>0</v>
      </c>
      <c r="G127" s="51">
        <f t="shared" si="22"/>
        <v>0</v>
      </c>
      <c r="H127" s="51">
        <f t="shared" si="22"/>
        <v>0</v>
      </c>
      <c r="I127" s="51">
        <f t="shared" si="22"/>
        <v>0</v>
      </c>
      <c r="J127" s="51">
        <f t="shared" si="22"/>
        <v>0</v>
      </c>
      <c r="K127" s="51">
        <f t="shared" si="22"/>
        <v>0</v>
      </c>
      <c r="L127" s="51">
        <f t="shared" si="22"/>
        <v>0</v>
      </c>
      <c r="M127" s="51">
        <f t="shared" si="22"/>
        <v>0</v>
      </c>
      <c r="N127" s="51">
        <f t="shared" si="22"/>
        <v>0</v>
      </c>
      <c r="O127" s="51">
        <f t="shared" si="22"/>
        <v>0</v>
      </c>
      <c r="P127" s="51">
        <f t="shared" si="22"/>
        <v>0</v>
      </c>
      <c r="Q127" s="51">
        <f t="shared" si="22"/>
        <v>0</v>
      </c>
      <c r="R127" s="51">
        <f>SUM(F127:Q127)</f>
        <v>0</v>
      </c>
    </row>
    <row r="128" spans="6:18" ht="12" thickTop="1"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</row>
    <row r="129" spans="2:18" ht="11.25">
      <c r="B129" s="5" t="s">
        <v>116</v>
      </c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</row>
    <row r="130" spans="3:18" ht="11.25">
      <c r="C130" s="5" t="s">
        <v>58</v>
      </c>
      <c r="F130" s="48">
        <f aca="true" t="shared" si="23" ref="F130:Q130">+F32-F81</f>
        <v>0</v>
      </c>
      <c r="G130" s="48">
        <f t="shared" si="23"/>
        <v>0</v>
      </c>
      <c r="H130" s="48">
        <f t="shared" si="23"/>
        <v>0</v>
      </c>
      <c r="I130" s="48">
        <f t="shared" si="23"/>
        <v>0</v>
      </c>
      <c r="J130" s="48">
        <f t="shared" si="23"/>
        <v>0</v>
      </c>
      <c r="K130" s="48">
        <f t="shared" si="23"/>
        <v>0</v>
      </c>
      <c r="L130" s="48">
        <f t="shared" si="23"/>
        <v>0</v>
      </c>
      <c r="M130" s="48">
        <f t="shared" si="23"/>
        <v>0</v>
      </c>
      <c r="N130" s="48">
        <f t="shared" si="23"/>
        <v>0</v>
      </c>
      <c r="O130" s="48">
        <f t="shared" si="23"/>
        <v>0</v>
      </c>
      <c r="P130" s="48">
        <f t="shared" si="23"/>
        <v>0</v>
      </c>
      <c r="Q130" s="48">
        <f t="shared" si="23"/>
        <v>0</v>
      </c>
      <c r="R130" s="48">
        <f>SUM(F130:Q130)</f>
        <v>0</v>
      </c>
    </row>
    <row r="131" spans="3:18" ht="11.25">
      <c r="C131" s="5" t="s">
        <v>56</v>
      </c>
      <c r="F131" s="48">
        <f aca="true" t="shared" si="24" ref="F131:Q131">+F33-F82</f>
        <v>0</v>
      </c>
      <c r="G131" s="48">
        <f t="shared" si="24"/>
        <v>0</v>
      </c>
      <c r="H131" s="48">
        <f t="shared" si="24"/>
        <v>0</v>
      </c>
      <c r="I131" s="48">
        <f t="shared" si="24"/>
        <v>0</v>
      </c>
      <c r="J131" s="48">
        <f t="shared" si="24"/>
        <v>0</v>
      </c>
      <c r="K131" s="48">
        <f t="shared" si="24"/>
        <v>0</v>
      </c>
      <c r="L131" s="48">
        <f t="shared" si="24"/>
        <v>0</v>
      </c>
      <c r="M131" s="48">
        <f t="shared" si="24"/>
        <v>0</v>
      </c>
      <c r="N131" s="48">
        <f t="shared" si="24"/>
        <v>0</v>
      </c>
      <c r="O131" s="48">
        <f t="shared" si="24"/>
        <v>0</v>
      </c>
      <c r="P131" s="48">
        <f t="shared" si="24"/>
        <v>0</v>
      </c>
      <c r="Q131" s="48">
        <f t="shared" si="24"/>
        <v>0</v>
      </c>
      <c r="R131" s="48">
        <f>SUM(F131:Q131)</f>
        <v>0</v>
      </c>
    </row>
    <row r="132" spans="2:18" ht="12" thickBot="1">
      <c r="B132" s="5" t="s">
        <v>118</v>
      </c>
      <c r="F132" s="58">
        <f>SUM(F130:F131)</f>
        <v>0</v>
      </c>
      <c r="G132" s="58">
        <f aca="true" t="shared" si="25" ref="G132:N132">SUM(G130:G131)</f>
        <v>0</v>
      </c>
      <c r="H132" s="58">
        <f t="shared" si="25"/>
        <v>0</v>
      </c>
      <c r="I132" s="58">
        <f t="shared" si="25"/>
        <v>0</v>
      </c>
      <c r="J132" s="58">
        <f t="shared" si="25"/>
        <v>0</v>
      </c>
      <c r="K132" s="58">
        <f t="shared" si="25"/>
        <v>0</v>
      </c>
      <c r="L132" s="58">
        <f t="shared" si="25"/>
        <v>0</v>
      </c>
      <c r="M132" s="58">
        <f t="shared" si="25"/>
        <v>0</v>
      </c>
      <c r="N132" s="58">
        <f t="shared" si="25"/>
        <v>0</v>
      </c>
      <c r="O132" s="58">
        <f>SUM(O130:O131)</f>
        <v>0</v>
      </c>
      <c r="P132" s="58">
        <f>SUM(P130:P131)</f>
        <v>0</v>
      </c>
      <c r="Q132" s="58">
        <f>SUM(Q130:Q131)</f>
        <v>0</v>
      </c>
      <c r="R132" s="58">
        <f>SUM(R130:R131)</f>
        <v>0</v>
      </c>
    </row>
    <row r="133" spans="6:18" ht="12" thickTop="1"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</row>
    <row r="134" spans="2:18" ht="12" thickBot="1">
      <c r="B134" s="15" t="s">
        <v>61</v>
      </c>
      <c r="F134" s="55">
        <f>+F127+F132</f>
        <v>0</v>
      </c>
      <c r="G134" s="55">
        <f aca="true" t="shared" si="26" ref="G134:R134">+G127+G132</f>
        <v>0</v>
      </c>
      <c r="H134" s="55">
        <f t="shared" si="26"/>
        <v>0</v>
      </c>
      <c r="I134" s="55">
        <f t="shared" si="26"/>
        <v>0</v>
      </c>
      <c r="J134" s="55">
        <f t="shared" si="26"/>
        <v>0</v>
      </c>
      <c r="K134" s="55">
        <f t="shared" si="26"/>
        <v>0</v>
      </c>
      <c r="L134" s="55">
        <f t="shared" si="26"/>
        <v>0</v>
      </c>
      <c r="M134" s="55">
        <f t="shared" si="26"/>
        <v>0</v>
      </c>
      <c r="N134" s="55">
        <f t="shared" si="26"/>
        <v>0</v>
      </c>
      <c r="O134" s="55">
        <f t="shared" si="26"/>
        <v>0</v>
      </c>
      <c r="P134" s="55">
        <f t="shared" si="26"/>
        <v>0</v>
      </c>
      <c r="Q134" s="55">
        <f t="shared" si="26"/>
        <v>0</v>
      </c>
      <c r="R134" s="55">
        <f t="shared" si="26"/>
        <v>0</v>
      </c>
    </row>
    <row r="135" spans="6:18" ht="11.25"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</row>
    <row r="136" spans="1:18" ht="11.25">
      <c r="A136" s="15" t="s">
        <v>51</v>
      </c>
      <c r="B136" s="15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</row>
    <row r="137" spans="1:18" ht="11.25">
      <c r="A137" s="15"/>
      <c r="B137" s="15" t="s">
        <v>50</v>
      </c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</row>
    <row r="138" spans="3:18" ht="12" thickBot="1">
      <c r="C138" s="5" t="s">
        <v>52</v>
      </c>
      <c r="F138" s="51">
        <f aca="true" t="shared" si="27" ref="F138:Q138">+F40-F89</f>
        <v>0</v>
      </c>
      <c r="G138" s="51">
        <f t="shared" si="27"/>
        <v>0</v>
      </c>
      <c r="H138" s="51">
        <f t="shared" si="27"/>
        <v>0</v>
      </c>
      <c r="I138" s="51">
        <f t="shared" si="27"/>
        <v>0</v>
      </c>
      <c r="J138" s="51">
        <f t="shared" si="27"/>
        <v>0</v>
      </c>
      <c r="K138" s="51">
        <f t="shared" si="27"/>
        <v>0</v>
      </c>
      <c r="L138" s="51">
        <f t="shared" si="27"/>
        <v>0</v>
      </c>
      <c r="M138" s="51">
        <f t="shared" si="27"/>
        <v>0</v>
      </c>
      <c r="N138" s="51">
        <f t="shared" si="27"/>
        <v>0</v>
      </c>
      <c r="O138" s="51">
        <f t="shared" si="27"/>
        <v>0</v>
      </c>
      <c r="P138" s="51">
        <f t="shared" si="27"/>
        <v>0</v>
      </c>
      <c r="Q138" s="51">
        <f t="shared" si="27"/>
        <v>0</v>
      </c>
      <c r="R138" s="51">
        <f>SUM(F138:Q138)</f>
        <v>0</v>
      </c>
    </row>
    <row r="139" spans="6:18" ht="12" thickTop="1"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</row>
    <row r="140" spans="6:18" ht="11.25"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</row>
    <row r="141" spans="6:18" ht="11.25"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</row>
    <row r="142" spans="6:18" ht="11.25"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</row>
    <row r="143" spans="6:18" ht="11.25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6:18" ht="11.25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ht="11.25">
      <c r="R145" s="8"/>
    </row>
    <row r="146" spans="4:18" ht="11.25">
      <c r="D146" s="1"/>
      <c r="R146" s="8"/>
    </row>
    <row r="147" spans="4:5" ht="11.25">
      <c r="D147" s="2"/>
      <c r="E147" s="3"/>
    </row>
    <row r="148" spans="1:18" ht="11.25">
      <c r="A148" s="13" t="s">
        <v>0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11.25">
      <c r="A149" s="13" t="s">
        <v>1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ht="11.25">
      <c r="A150" s="13" t="s">
        <v>85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ht="11.25">
      <c r="A151" s="13" t="str">
        <f>Summary!$A$4</f>
        <v>PUB    2002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ht="11.25">
      <c r="A152" s="4"/>
    </row>
    <row r="154" spans="6:18" ht="11.25">
      <c r="F154" s="23" t="s">
        <v>3</v>
      </c>
      <c r="G154" s="23" t="s">
        <v>4</v>
      </c>
      <c r="H154" s="23" t="s">
        <v>5</v>
      </c>
      <c r="I154" s="23" t="s">
        <v>6</v>
      </c>
      <c r="J154" s="23" t="s">
        <v>7</v>
      </c>
      <c r="K154" s="23" t="s">
        <v>8</v>
      </c>
      <c r="L154" s="23" t="s">
        <v>9</v>
      </c>
      <c r="M154" s="23" t="s">
        <v>10</v>
      </c>
      <c r="N154" s="23" t="s">
        <v>11</v>
      </c>
      <c r="O154" s="23" t="s">
        <v>12</v>
      </c>
      <c r="P154" s="23" t="s">
        <v>13</v>
      </c>
      <c r="Q154" s="23" t="s">
        <v>14</v>
      </c>
      <c r="R154" s="23" t="s">
        <v>61</v>
      </c>
    </row>
    <row r="156" spans="1:2" ht="11.25">
      <c r="A156" s="15" t="s">
        <v>49</v>
      </c>
      <c r="B156" s="15"/>
    </row>
    <row r="157" spans="1:18" ht="11.25">
      <c r="A157" s="15"/>
      <c r="B157" s="15" t="s">
        <v>50</v>
      </c>
      <c r="F157" s="19">
        <f>+ROUND(F109*J173/1000,2)</f>
        <v>0</v>
      </c>
      <c r="G157" s="19">
        <f>+ROUND(G109*J174/1000,2)</f>
        <v>0</v>
      </c>
      <c r="H157" s="19">
        <f>+ROUND(H109*J175/1000,2)</f>
        <v>0</v>
      </c>
      <c r="I157" s="19">
        <f>+ROUND(I109*J176/1000,2)</f>
        <v>0</v>
      </c>
      <c r="J157" s="19">
        <f>+ROUND(J109*J177/1000,2)</f>
        <v>0</v>
      </c>
      <c r="K157" s="19">
        <f>+ROUND(K109*J178/1000,2)</f>
        <v>0</v>
      </c>
      <c r="L157" s="19">
        <f>+ROUND(L109*J179/1000,2)</f>
        <v>0</v>
      </c>
      <c r="M157" s="19">
        <f>+ROUND(M109*J180/1000,2)</f>
        <v>0</v>
      </c>
      <c r="N157" s="19">
        <f>+ROUND(N109*J181/1000,2)</f>
        <v>0</v>
      </c>
      <c r="O157" s="19">
        <f>+ROUND(O109*J182/1000,2)</f>
        <v>0</v>
      </c>
      <c r="P157" s="19">
        <f>+ROUND(P109*J183/1000,2)</f>
        <v>0</v>
      </c>
      <c r="Q157" s="19">
        <f>+ROUND(Q109*J184/1000,2)</f>
        <v>0</v>
      </c>
      <c r="R157" s="19">
        <f>SUM(F157:Q157)</f>
        <v>0</v>
      </c>
    </row>
    <row r="158" spans="6:18" ht="11.25"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 t="s">
        <v>60</v>
      </c>
    </row>
    <row r="159" spans="2:18" ht="11.25">
      <c r="B159" s="15" t="s">
        <v>80</v>
      </c>
      <c r="F159" s="19">
        <f>ROUND(F125*R173/1000,2)</f>
        <v>0</v>
      </c>
      <c r="G159" s="19">
        <f>ROUND(G125*R174/1000,2)</f>
        <v>0</v>
      </c>
      <c r="H159" s="19">
        <f>ROUND(H125*R175/1000,2)</f>
        <v>0</v>
      </c>
      <c r="I159" s="19">
        <f>ROUND(I125*R176/1000,2)</f>
        <v>0</v>
      </c>
      <c r="J159" s="19">
        <f>ROUND(J125*R177/1000,2)</f>
        <v>0</v>
      </c>
      <c r="K159" s="19">
        <f>ROUND(K125*R178/1000,2)</f>
        <v>0</v>
      </c>
      <c r="L159" s="19">
        <f>ROUND(L125*R179/1000,2)</f>
        <v>0</v>
      </c>
      <c r="M159" s="19">
        <f>ROUND(M125*R180/1000,2)</f>
        <v>0</v>
      </c>
      <c r="N159" s="19">
        <f>ROUND(N125*R181/1000,2)</f>
        <v>0</v>
      </c>
      <c r="O159" s="19">
        <f>ROUND(O125*R182/1000,2)</f>
        <v>0</v>
      </c>
      <c r="P159" s="19">
        <f>ROUND(P125*R183/1000,2)</f>
        <v>0</v>
      </c>
      <c r="Q159" s="19">
        <f>ROUND(Q125*R184/1000,2)</f>
        <v>0</v>
      </c>
      <c r="R159" s="19">
        <f>SUM(F159:Q159)</f>
        <v>0</v>
      </c>
    </row>
    <row r="160" spans="6:18" ht="11.25"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 t="s">
        <v>60</v>
      </c>
    </row>
    <row r="161" spans="6:18" ht="12" thickBot="1">
      <c r="F161" s="46">
        <f>SUM(F157:F160)</f>
        <v>0</v>
      </c>
      <c r="G161" s="46">
        <f aca="true" t="shared" si="28" ref="G161:Q161">SUM(G157:G160)</f>
        <v>0</v>
      </c>
      <c r="H161" s="46">
        <f t="shared" si="28"/>
        <v>0</v>
      </c>
      <c r="I161" s="46">
        <f t="shared" si="28"/>
        <v>0</v>
      </c>
      <c r="J161" s="46">
        <f t="shared" si="28"/>
        <v>0</v>
      </c>
      <c r="K161" s="46">
        <f t="shared" si="28"/>
        <v>0</v>
      </c>
      <c r="L161" s="46">
        <f t="shared" si="28"/>
        <v>0</v>
      </c>
      <c r="M161" s="46">
        <f t="shared" si="28"/>
        <v>0</v>
      </c>
      <c r="N161" s="46">
        <f t="shared" si="28"/>
        <v>0</v>
      </c>
      <c r="O161" s="46">
        <f t="shared" si="28"/>
        <v>0</v>
      </c>
      <c r="P161" s="46">
        <f t="shared" si="28"/>
        <v>0</v>
      </c>
      <c r="Q161" s="46">
        <f t="shared" si="28"/>
        <v>0</v>
      </c>
      <c r="R161" s="46">
        <f>SUM(F161:Q161)</f>
        <v>0</v>
      </c>
    </row>
    <row r="162" spans="6:18" ht="12" thickTop="1"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 t="s">
        <v>60</v>
      </c>
    </row>
    <row r="163" spans="6:18" ht="11.25"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 t="s">
        <v>60</v>
      </c>
    </row>
    <row r="164" spans="1:18" ht="11.25">
      <c r="A164" s="15" t="s">
        <v>51</v>
      </c>
      <c r="B164" s="15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 t="s">
        <v>60</v>
      </c>
    </row>
    <row r="165" spans="1:18" ht="12" thickBot="1">
      <c r="A165" s="15"/>
      <c r="B165" s="15" t="s">
        <v>50</v>
      </c>
      <c r="F165" s="41">
        <f>ROUND(-F138*10.4/1000,2)</f>
        <v>0</v>
      </c>
      <c r="G165" s="41">
        <f aca="true" t="shared" si="29" ref="G165:Q165">ROUND(-G138*10.4/1000,2)</f>
        <v>0</v>
      </c>
      <c r="H165" s="41">
        <f t="shared" si="29"/>
        <v>0</v>
      </c>
      <c r="I165" s="41">
        <f t="shared" si="29"/>
        <v>0</v>
      </c>
      <c r="J165" s="41">
        <f t="shared" si="29"/>
        <v>0</v>
      </c>
      <c r="K165" s="41">
        <f t="shared" si="29"/>
        <v>0</v>
      </c>
      <c r="L165" s="41">
        <f t="shared" si="29"/>
        <v>0</v>
      </c>
      <c r="M165" s="41">
        <f t="shared" si="29"/>
        <v>0</v>
      </c>
      <c r="N165" s="41">
        <f t="shared" si="29"/>
        <v>0</v>
      </c>
      <c r="O165" s="41">
        <f t="shared" si="29"/>
        <v>0</v>
      </c>
      <c r="P165" s="41">
        <f t="shared" si="29"/>
        <v>0</v>
      </c>
      <c r="Q165" s="41">
        <f t="shared" si="29"/>
        <v>0</v>
      </c>
      <c r="R165" s="41">
        <f>SUM(F165:Q165)</f>
        <v>0</v>
      </c>
    </row>
    <row r="166" ht="12" thickTop="1"/>
    <row r="169" spans="4:18" ht="11.2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4:18" ht="11.25">
      <c r="D170" s="6"/>
      <c r="E170" s="6"/>
      <c r="F170" s="6"/>
      <c r="G170" s="6" t="s">
        <v>64</v>
      </c>
      <c r="H170" s="6" t="s">
        <v>81</v>
      </c>
      <c r="I170" s="6"/>
      <c r="J170" s="6" t="s">
        <v>82</v>
      </c>
      <c r="K170" s="6"/>
      <c r="L170" s="6"/>
      <c r="M170" s="6"/>
      <c r="N170" s="6"/>
      <c r="O170" s="6" t="s">
        <v>64</v>
      </c>
      <c r="P170" s="6" t="s">
        <v>83</v>
      </c>
      <c r="Q170" s="6"/>
      <c r="R170" s="6" t="s">
        <v>82</v>
      </c>
    </row>
    <row r="171" spans="4:18" ht="11.25">
      <c r="D171" s="6" t="s">
        <v>50</v>
      </c>
      <c r="E171" s="6" t="s">
        <v>64</v>
      </c>
      <c r="F171" s="6" t="s">
        <v>47</v>
      </c>
      <c r="G171" s="6" t="s">
        <v>65</v>
      </c>
      <c r="H171" s="6" t="s">
        <v>48</v>
      </c>
      <c r="I171" s="6" t="s">
        <v>66</v>
      </c>
      <c r="J171" s="6" t="s">
        <v>67</v>
      </c>
      <c r="K171" s="6"/>
      <c r="L171" s="6" t="s">
        <v>80</v>
      </c>
      <c r="M171" s="6" t="s">
        <v>64</v>
      </c>
      <c r="N171" s="6" t="s">
        <v>47</v>
      </c>
      <c r="O171" s="6" t="s">
        <v>65</v>
      </c>
      <c r="P171" s="6" t="s">
        <v>48</v>
      </c>
      <c r="Q171" s="6" t="s">
        <v>66</v>
      </c>
      <c r="R171" s="6" t="s">
        <v>67</v>
      </c>
    </row>
    <row r="173" spans="4:18" ht="11.25">
      <c r="D173" s="5" t="s">
        <v>68</v>
      </c>
      <c r="E173" s="19">
        <f>Fuel!K12</f>
        <v>24.33</v>
      </c>
      <c r="F173" s="21">
        <v>0.61</v>
      </c>
      <c r="G173" s="59">
        <f>SUM(ROUND(E173/F173,4))</f>
        <v>39.8852</v>
      </c>
      <c r="H173" s="59">
        <v>48</v>
      </c>
      <c r="I173" s="59">
        <f>+G173-H173</f>
        <v>-8.114800000000002</v>
      </c>
      <c r="J173" s="19">
        <f>+ROUND(I173,2)</f>
        <v>-8.11</v>
      </c>
      <c r="L173" s="10" t="s">
        <v>68</v>
      </c>
      <c r="M173" s="19">
        <f>Fuel!K12</f>
        <v>24.33</v>
      </c>
      <c r="N173" s="21">
        <v>0.61</v>
      </c>
      <c r="O173" s="59">
        <f>SUM(ROUND(M173/N173,4))</f>
        <v>39.8852</v>
      </c>
      <c r="P173" s="59">
        <v>23.09</v>
      </c>
      <c r="Q173" s="59">
        <f>+O173-P173</f>
        <v>16.795199999999998</v>
      </c>
      <c r="R173" s="19">
        <f>+ROUND(Q173,2)</f>
        <v>16.8</v>
      </c>
    </row>
    <row r="174" spans="4:18" ht="11.25">
      <c r="D174" s="5" t="s">
        <v>69</v>
      </c>
      <c r="E174" s="19">
        <f>Fuel!K13</f>
        <v>21.7</v>
      </c>
      <c r="F174" s="21">
        <v>0.61</v>
      </c>
      <c r="G174" s="59">
        <f aca="true" t="shared" si="30" ref="G174:G184">SUM(ROUND(E174/F174,4))</f>
        <v>35.5738</v>
      </c>
      <c r="H174" s="59">
        <f>+H173</f>
        <v>48</v>
      </c>
      <c r="I174" s="59">
        <f aca="true" t="shared" si="31" ref="I174:I184">+G174-H174</f>
        <v>-12.426200000000001</v>
      </c>
      <c r="J174" s="19">
        <f aca="true" t="shared" si="32" ref="J174:J184">+ROUND(I174,2)</f>
        <v>-12.43</v>
      </c>
      <c r="L174" s="10" t="s">
        <v>69</v>
      </c>
      <c r="M174" s="19">
        <f>Fuel!K13</f>
        <v>21.7</v>
      </c>
      <c r="N174" s="21">
        <v>0.61</v>
      </c>
      <c r="O174" s="59">
        <f aca="true" t="shared" si="33" ref="O174:O184">SUM(ROUND(M174/N174,4))</f>
        <v>35.5738</v>
      </c>
      <c r="P174" s="59">
        <f>+P173</f>
        <v>23.09</v>
      </c>
      <c r="Q174" s="59">
        <f aca="true" t="shared" si="34" ref="Q174:Q184">+O174-P174</f>
        <v>12.483799999999999</v>
      </c>
      <c r="R174" s="19">
        <f aca="true" t="shared" si="35" ref="R174:R184">+ROUND(Q174,2)</f>
        <v>12.48</v>
      </c>
    </row>
    <row r="175" spans="4:18" ht="11.25">
      <c r="D175" s="5" t="s">
        <v>70</v>
      </c>
      <c r="E175" s="19">
        <f>Fuel!K14</f>
        <v>21.7</v>
      </c>
      <c r="F175" s="21">
        <v>0.61</v>
      </c>
      <c r="G175" s="59">
        <f t="shared" si="30"/>
        <v>35.5738</v>
      </c>
      <c r="H175" s="59">
        <f aca="true" t="shared" si="36" ref="H175:H184">+H174</f>
        <v>48</v>
      </c>
      <c r="I175" s="59">
        <f t="shared" si="31"/>
        <v>-12.426200000000001</v>
      </c>
      <c r="J175" s="19">
        <f t="shared" si="32"/>
        <v>-12.43</v>
      </c>
      <c r="L175" s="10" t="s">
        <v>70</v>
      </c>
      <c r="M175" s="19">
        <f>Fuel!K14</f>
        <v>21.7</v>
      </c>
      <c r="N175" s="21">
        <v>0.61</v>
      </c>
      <c r="O175" s="59">
        <f t="shared" si="33"/>
        <v>35.5738</v>
      </c>
      <c r="P175" s="59">
        <f aca="true" t="shared" si="37" ref="P175:P184">+P174</f>
        <v>23.09</v>
      </c>
      <c r="Q175" s="59">
        <f t="shared" si="34"/>
        <v>12.483799999999999</v>
      </c>
      <c r="R175" s="19">
        <f t="shared" si="35"/>
        <v>12.48</v>
      </c>
    </row>
    <row r="176" spans="4:18" ht="11.25">
      <c r="D176" s="5" t="s">
        <v>71</v>
      </c>
      <c r="E176" s="19">
        <f>Fuel!K15</f>
        <v>20.77</v>
      </c>
      <c r="F176" s="21">
        <v>0.61</v>
      </c>
      <c r="G176" s="59">
        <f t="shared" si="30"/>
        <v>34.0492</v>
      </c>
      <c r="H176" s="59">
        <f t="shared" si="36"/>
        <v>48</v>
      </c>
      <c r="I176" s="59">
        <f t="shared" si="31"/>
        <v>-13.950800000000001</v>
      </c>
      <c r="J176" s="19">
        <f t="shared" si="32"/>
        <v>-13.95</v>
      </c>
      <c r="L176" s="10" t="s">
        <v>71</v>
      </c>
      <c r="M176" s="19">
        <f>Fuel!K15</f>
        <v>20.77</v>
      </c>
      <c r="N176" s="21">
        <v>0.61</v>
      </c>
      <c r="O176" s="59">
        <f t="shared" si="33"/>
        <v>34.0492</v>
      </c>
      <c r="P176" s="59">
        <f t="shared" si="37"/>
        <v>23.09</v>
      </c>
      <c r="Q176" s="59">
        <f t="shared" si="34"/>
        <v>10.9592</v>
      </c>
      <c r="R176" s="19">
        <f t="shared" si="35"/>
        <v>10.96</v>
      </c>
    </row>
    <row r="177" spans="4:18" ht="11.25">
      <c r="D177" s="5" t="s">
        <v>72</v>
      </c>
      <c r="E177" s="19">
        <f>Fuel!K16</f>
        <v>20.77</v>
      </c>
      <c r="F177" s="21">
        <v>0.61</v>
      </c>
      <c r="G177" s="59">
        <f t="shared" si="30"/>
        <v>34.0492</v>
      </c>
      <c r="H177" s="59">
        <f t="shared" si="36"/>
        <v>48</v>
      </c>
      <c r="I177" s="59">
        <f t="shared" si="31"/>
        <v>-13.950800000000001</v>
      </c>
      <c r="J177" s="19">
        <f t="shared" si="32"/>
        <v>-13.95</v>
      </c>
      <c r="L177" s="10" t="s">
        <v>72</v>
      </c>
      <c r="M177" s="19">
        <f>Fuel!K16</f>
        <v>20.77</v>
      </c>
      <c r="N177" s="21">
        <v>0.61</v>
      </c>
      <c r="O177" s="59">
        <f t="shared" si="33"/>
        <v>34.0492</v>
      </c>
      <c r="P177" s="59">
        <f t="shared" si="37"/>
        <v>23.09</v>
      </c>
      <c r="Q177" s="59">
        <f t="shared" si="34"/>
        <v>10.9592</v>
      </c>
      <c r="R177" s="19">
        <f t="shared" si="35"/>
        <v>10.96</v>
      </c>
    </row>
    <row r="178" spans="4:18" ht="11.25">
      <c r="D178" s="5" t="s">
        <v>73</v>
      </c>
      <c r="E178" s="19">
        <f>Fuel!K17</f>
        <v>20.44</v>
      </c>
      <c r="F178" s="21">
        <v>0.61</v>
      </c>
      <c r="G178" s="59">
        <f t="shared" si="30"/>
        <v>33.5082</v>
      </c>
      <c r="H178" s="59">
        <f t="shared" si="36"/>
        <v>48</v>
      </c>
      <c r="I178" s="59">
        <f t="shared" si="31"/>
        <v>-14.491799999999998</v>
      </c>
      <c r="J178" s="19">
        <f t="shared" si="32"/>
        <v>-14.49</v>
      </c>
      <c r="L178" s="10" t="s">
        <v>73</v>
      </c>
      <c r="M178" s="19">
        <f>Fuel!K17</f>
        <v>20.44</v>
      </c>
      <c r="N178" s="21">
        <v>0.61</v>
      </c>
      <c r="O178" s="59">
        <f t="shared" si="33"/>
        <v>33.5082</v>
      </c>
      <c r="P178" s="59">
        <f t="shared" si="37"/>
        <v>23.09</v>
      </c>
      <c r="Q178" s="59">
        <f t="shared" si="34"/>
        <v>10.418200000000002</v>
      </c>
      <c r="R178" s="19">
        <f t="shared" si="35"/>
        <v>10.42</v>
      </c>
    </row>
    <row r="179" spans="4:18" ht="11.25">
      <c r="D179" s="5" t="s">
        <v>74</v>
      </c>
      <c r="E179" s="19">
        <f>Fuel!K18</f>
        <v>20.44</v>
      </c>
      <c r="F179" s="21">
        <v>0.61</v>
      </c>
      <c r="G179" s="59">
        <f t="shared" si="30"/>
        <v>33.5082</v>
      </c>
      <c r="H179" s="59">
        <f t="shared" si="36"/>
        <v>48</v>
      </c>
      <c r="I179" s="59">
        <f t="shared" si="31"/>
        <v>-14.491799999999998</v>
      </c>
      <c r="J179" s="19">
        <f t="shared" si="32"/>
        <v>-14.49</v>
      </c>
      <c r="L179" s="10" t="s">
        <v>74</v>
      </c>
      <c r="M179" s="19">
        <f>Fuel!K18</f>
        <v>20.44</v>
      </c>
      <c r="N179" s="21">
        <v>0.61</v>
      </c>
      <c r="O179" s="59">
        <f t="shared" si="33"/>
        <v>33.5082</v>
      </c>
      <c r="P179" s="59">
        <f t="shared" si="37"/>
        <v>23.09</v>
      </c>
      <c r="Q179" s="59">
        <f t="shared" si="34"/>
        <v>10.418200000000002</v>
      </c>
      <c r="R179" s="19">
        <f t="shared" si="35"/>
        <v>10.42</v>
      </c>
    </row>
    <row r="180" spans="4:18" ht="11.25">
      <c r="D180" s="5" t="s">
        <v>75</v>
      </c>
      <c r="E180" s="19">
        <f>Fuel!K19</f>
        <v>20.44</v>
      </c>
      <c r="F180" s="21">
        <v>0.61</v>
      </c>
      <c r="G180" s="59">
        <f t="shared" si="30"/>
        <v>33.5082</v>
      </c>
      <c r="H180" s="59">
        <f t="shared" si="36"/>
        <v>48</v>
      </c>
      <c r="I180" s="59">
        <f t="shared" si="31"/>
        <v>-14.491799999999998</v>
      </c>
      <c r="J180" s="19">
        <f t="shared" si="32"/>
        <v>-14.49</v>
      </c>
      <c r="L180" s="10" t="s">
        <v>75</v>
      </c>
      <c r="M180" s="19">
        <f>Fuel!K19</f>
        <v>20.44</v>
      </c>
      <c r="N180" s="21">
        <v>0.61</v>
      </c>
      <c r="O180" s="59">
        <f t="shared" si="33"/>
        <v>33.5082</v>
      </c>
      <c r="P180" s="59">
        <f t="shared" si="37"/>
        <v>23.09</v>
      </c>
      <c r="Q180" s="59">
        <f t="shared" si="34"/>
        <v>10.418200000000002</v>
      </c>
      <c r="R180" s="19">
        <f t="shared" si="35"/>
        <v>10.42</v>
      </c>
    </row>
    <row r="181" spans="4:18" ht="11.25">
      <c r="D181" s="5" t="s">
        <v>76</v>
      </c>
      <c r="E181" s="19">
        <f>Fuel!K20</f>
        <v>20.28</v>
      </c>
      <c r="F181" s="21">
        <v>0.61</v>
      </c>
      <c r="G181" s="59">
        <f t="shared" si="30"/>
        <v>33.2459</v>
      </c>
      <c r="H181" s="59">
        <f t="shared" si="36"/>
        <v>48</v>
      </c>
      <c r="I181" s="59">
        <f t="shared" si="31"/>
        <v>-14.754100000000001</v>
      </c>
      <c r="J181" s="19">
        <f t="shared" si="32"/>
        <v>-14.75</v>
      </c>
      <c r="L181" s="10" t="s">
        <v>76</v>
      </c>
      <c r="M181" s="19">
        <f>Fuel!K20</f>
        <v>20.28</v>
      </c>
      <c r="N181" s="21">
        <v>0.61</v>
      </c>
      <c r="O181" s="59">
        <f t="shared" si="33"/>
        <v>33.2459</v>
      </c>
      <c r="P181" s="59">
        <f t="shared" si="37"/>
        <v>23.09</v>
      </c>
      <c r="Q181" s="59">
        <f t="shared" si="34"/>
        <v>10.155899999999999</v>
      </c>
      <c r="R181" s="19">
        <f t="shared" si="35"/>
        <v>10.16</v>
      </c>
    </row>
    <row r="182" spans="4:18" ht="11.25">
      <c r="D182" s="5" t="s">
        <v>77</v>
      </c>
      <c r="E182" s="19">
        <f>Fuel!K21</f>
        <v>20.18</v>
      </c>
      <c r="F182" s="21">
        <v>0.61</v>
      </c>
      <c r="G182" s="59">
        <f t="shared" si="30"/>
        <v>33.082</v>
      </c>
      <c r="H182" s="59">
        <f t="shared" si="36"/>
        <v>48</v>
      </c>
      <c r="I182" s="59">
        <f t="shared" si="31"/>
        <v>-14.918</v>
      </c>
      <c r="J182" s="19">
        <f t="shared" si="32"/>
        <v>-14.92</v>
      </c>
      <c r="L182" s="10" t="s">
        <v>77</v>
      </c>
      <c r="M182" s="19">
        <f>Fuel!K21</f>
        <v>20.18</v>
      </c>
      <c r="N182" s="21">
        <v>0.61</v>
      </c>
      <c r="O182" s="59">
        <f t="shared" si="33"/>
        <v>33.082</v>
      </c>
      <c r="P182" s="59">
        <f t="shared" si="37"/>
        <v>23.09</v>
      </c>
      <c r="Q182" s="59">
        <f t="shared" si="34"/>
        <v>9.992</v>
      </c>
      <c r="R182" s="19">
        <f t="shared" si="35"/>
        <v>9.99</v>
      </c>
    </row>
    <row r="183" spans="4:18" ht="11.25">
      <c r="D183" s="5" t="s">
        <v>78</v>
      </c>
      <c r="E183" s="19">
        <f>Fuel!K22</f>
        <v>20.07</v>
      </c>
      <c r="F183" s="21">
        <v>0.61</v>
      </c>
      <c r="G183" s="59">
        <f t="shared" si="30"/>
        <v>32.9016</v>
      </c>
      <c r="H183" s="59">
        <f t="shared" si="36"/>
        <v>48</v>
      </c>
      <c r="I183" s="59">
        <f t="shared" si="31"/>
        <v>-15.098399999999998</v>
      </c>
      <c r="J183" s="19">
        <f t="shared" si="32"/>
        <v>-15.1</v>
      </c>
      <c r="L183" s="10" t="s">
        <v>78</v>
      </c>
      <c r="M183" s="19">
        <f>Fuel!K22</f>
        <v>20.07</v>
      </c>
      <c r="N183" s="21">
        <v>0.61</v>
      </c>
      <c r="O183" s="59">
        <f t="shared" si="33"/>
        <v>32.9016</v>
      </c>
      <c r="P183" s="59">
        <f t="shared" si="37"/>
        <v>23.09</v>
      </c>
      <c r="Q183" s="59">
        <f t="shared" si="34"/>
        <v>9.811600000000002</v>
      </c>
      <c r="R183" s="19">
        <f t="shared" si="35"/>
        <v>9.81</v>
      </c>
    </row>
    <row r="184" spans="4:18" ht="11.25">
      <c r="D184" s="5" t="s">
        <v>79</v>
      </c>
      <c r="E184" s="19">
        <f>Fuel!K23</f>
        <v>20.03</v>
      </c>
      <c r="F184" s="21">
        <v>0.61</v>
      </c>
      <c r="G184" s="59">
        <f t="shared" si="30"/>
        <v>32.8361</v>
      </c>
      <c r="H184" s="59">
        <f t="shared" si="36"/>
        <v>48</v>
      </c>
      <c r="I184" s="59">
        <f t="shared" si="31"/>
        <v>-15.163899999999998</v>
      </c>
      <c r="J184" s="19">
        <f t="shared" si="32"/>
        <v>-15.16</v>
      </c>
      <c r="L184" s="10" t="s">
        <v>79</v>
      </c>
      <c r="M184" s="19">
        <f>Fuel!K23</f>
        <v>20.03</v>
      </c>
      <c r="N184" s="21">
        <v>0.61</v>
      </c>
      <c r="O184" s="59">
        <f t="shared" si="33"/>
        <v>32.8361</v>
      </c>
      <c r="P184" s="59">
        <f t="shared" si="37"/>
        <v>23.09</v>
      </c>
      <c r="Q184" s="59">
        <f t="shared" si="34"/>
        <v>9.746100000000002</v>
      </c>
      <c r="R184" s="19">
        <f t="shared" si="35"/>
        <v>9.75</v>
      </c>
    </row>
    <row r="185" spans="3:11" ht="11.25">
      <c r="C185" s="5" t="s">
        <v>60</v>
      </c>
      <c r="K185" s="5" t="s">
        <v>60</v>
      </c>
    </row>
    <row r="190" ht="11.25">
      <c r="D190" s="1"/>
    </row>
    <row r="191" spans="4:5" ht="11.25">
      <c r="D191" s="2"/>
      <c r="E191" s="3"/>
    </row>
    <row r="193" spans="1:18" ht="11.25">
      <c r="A193" s="13" t="s">
        <v>0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1.25">
      <c r="A194" s="13" t="s">
        <v>1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1.25">
      <c r="A195" s="13" t="s">
        <v>84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1.25">
      <c r="A196" s="13" t="str">
        <f>Summary!$A$4</f>
        <v>PUB    2002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5" ht="11.25">
      <c r="A197" s="4" t="s">
        <v>114</v>
      </c>
      <c r="E197" s="38">
        <v>36992</v>
      </c>
    </row>
    <row r="199" spans="6:18" ht="11.25">
      <c r="F199" s="23" t="s">
        <v>3</v>
      </c>
      <c r="G199" s="23" t="s">
        <v>4</v>
      </c>
      <c r="H199" s="23" t="s">
        <v>5</v>
      </c>
      <c r="I199" s="23" t="s">
        <v>6</v>
      </c>
      <c r="J199" s="23" t="s">
        <v>7</v>
      </c>
      <c r="K199" s="23" t="s">
        <v>8</v>
      </c>
      <c r="L199" s="23" t="s">
        <v>9</v>
      </c>
      <c r="M199" s="23" t="s">
        <v>10</v>
      </c>
      <c r="N199" s="23" t="s">
        <v>11</v>
      </c>
      <c r="O199" s="23" t="s">
        <v>12</v>
      </c>
      <c r="P199" s="23" t="s">
        <v>13</v>
      </c>
      <c r="Q199" s="23" t="s">
        <v>14</v>
      </c>
      <c r="R199" s="23" t="s">
        <v>61</v>
      </c>
    </row>
    <row r="201" spans="1:17" ht="11.25">
      <c r="A201" s="15" t="s">
        <v>49</v>
      </c>
      <c r="B201" s="15"/>
      <c r="C201" s="15"/>
      <c r="F201" s="15">
        <v>-0.00177</v>
      </c>
      <c r="G201" s="15">
        <v>-0.00177</v>
      </c>
      <c r="H201" s="15">
        <v>-0.00177</v>
      </c>
      <c r="I201" s="15">
        <v>-0.00177</v>
      </c>
      <c r="J201" s="15">
        <v>-0.00177</v>
      </c>
      <c r="K201" s="15">
        <v>-0.00177</v>
      </c>
      <c r="L201" s="15">
        <v>-0.00464</v>
      </c>
      <c r="M201" s="15">
        <f>+L201</f>
        <v>-0.00464</v>
      </c>
      <c r="N201" s="15">
        <f>+M201</f>
        <v>-0.00464</v>
      </c>
      <c r="O201" s="15">
        <f>+N201</f>
        <v>-0.00464</v>
      </c>
      <c r="P201" s="15">
        <f>+O201</f>
        <v>-0.00464</v>
      </c>
      <c r="Q201" s="15">
        <f>+P201</f>
        <v>-0.00464</v>
      </c>
    </row>
    <row r="202" spans="1:3" ht="11.25">
      <c r="A202" s="15"/>
      <c r="B202" s="15" t="s">
        <v>50</v>
      </c>
      <c r="C202" s="15"/>
    </row>
    <row r="203" spans="3:18" ht="11.25">
      <c r="C203" s="5" t="s">
        <v>52</v>
      </c>
      <c r="F203" s="19">
        <f aca="true" t="shared" si="38" ref="F203:Q203">ROUND(F11*F201,2)</f>
        <v>-943587</v>
      </c>
      <c r="G203" s="19">
        <f t="shared" si="38"/>
        <v>-834909</v>
      </c>
      <c r="H203" s="19">
        <f t="shared" si="38"/>
        <v>-843936</v>
      </c>
      <c r="I203" s="19">
        <f t="shared" si="38"/>
        <v>-677910</v>
      </c>
      <c r="J203" s="19">
        <f t="shared" si="38"/>
        <v>-583923</v>
      </c>
      <c r="K203" s="19">
        <f t="shared" si="38"/>
        <v>-483387</v>
      </c>
      <c r="L203" s="19">
        <f t="shared" si="38"/>
        <v>-1175776</v>
      </c>
      <c r="M203" s="19">
        <f t="shared" si="38"/>
        <v>-1149328</v>
      </c>
      <c r="N203" s="19">
        <f t="shared" si="38"/>
        <v>-1238880</v>
      </c>
      <c r="O203" s="19">
        <f t="shared" si="38"/>
        <v>-1535840</v>
      </c>
      <c r="P203" s="19">
        <f t="shared" si="38"/>
        <v>-1833264</v>
      </c>
      <c r="Q203" s="19">
        <f t="shared" si="38"/>
        <v>-2287520</v>
      </c>
      <c r="R203" s="19">
        <f>SUM(F203:Q203)</f>
        <v>-13588260</v>
      </c>
    </row>
    <row r="204" spans="1:18" ht="11.25">
      <c r="A204" s="15" t="s">
        <v>51</v>
      </c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1.25">
      <c r="A205" s="15"/>
      <c r="B205" s="15" t="s">
        <v>50</v>
      </c>
      <c r="F205" s="19" t="s">
        <v>60</v>
      </c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3:18" ht="11.25">
      <c r="C206" s="5" t="s">
        <v>52</v>
      </c>
      <c r="F206" s="60">
        <f aca="true" t="shared" si="39" ref="F206:Q206">ROUND(F40*F201,2)</f>
        <v>0</v>
      </c>
      <c r="G206" s="60">
        <f t="shared" si="39"/>
        <v>0</v>
      </c>
      <c r="H206" s="60">
        <f t="shared" si="39"/>
        <v>0</v>
      </c>
      <c r="I206" s="60">
        <f t="shared" si="39"/>
        <v>0</v>
      </c>
      <c r="J206" s="60">
        <f t="shared" si="39"/>
        <v>0</v>
      </c>
      <c r="K206" s="60">
        <f t="shared" si="39"/>
        <v>0</v>
      </c>
      <c r="L206" s="60">
        <f t="shared" si="39"/>
        <v>0</v>
      </c>
      <c r="M206" s="60">
        <f t="shared" si="39"/>
        <v>0</v>
      </c>
      <c r="N206" s="60">
        <f t="shared" si="39"/>
        <v>0</v>
      </c>
      <c r="O206" s="60">
        <f t="shared" si="39"/>
        <v>0</v>
      </c>
      <c r="P206" s="60">
        <f t="shared" si="39"/>
        <v>0</v>
      </c>
      <c r="Q206" s="60">
        <f t="shared" si="39"/>
        <v>0</v>
      </c>
      <c r="R206" s="60">
        <f>SUM(F206:Q206)</f>
        <v>0</v>
      </c>
    </row>
    <row r="207" spans="4:18" ht="11.25">
      <c r="D207" s="5" t="s">
        <v>104</v>
      </c>
      <c r="F207" s="19">
        <v>0</v>
      </c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>
        <f>SUM(F207:Q207)</f>
        <v>0</v>
      </c>
    </row>
    <row r="208" spans="6:18" ht="11.25">
      <c r="F208" s="40">
        <f>SUM(F203:F207)</f>
        <v>-943587</v>
      </c>
      <c r="G208" s="40">
        <f aca="true" t="shared" si="40" ref="G208:Q208">SUM(G203:G207)</f>
        <v>-834909</v>
      </c>
      <c r="H208" s="40">
        <f t="shared" si="40"/>
        <v>-843936</v>
      </c>
      <c r="I208" s="40">
        <f t="shared" si="40"/>
        <v>-677910</v>
      </c>
      <c r="J208" s="40">
        <f t="shared" si="40"/>
        <v>-583923</v>
      </c>
      <c r="K208" s="40">
        <f t="shared" si="40"/>
        <v>-483387</v>
      </c>
      <c r="L208" s="40">
        <f t="shared" si="40"/>
        <v>-1175776</v>
      </c>
      <c r="M208" s="40">
        <f t="shared" si="40"/>
        <v>-1149328</v>
      </c>
      <c r="N208" s="40">
        <f t="shared" si="40"/>
        <v>-1238880</v>
      </c>
      <c r="O208" s="40">
        <f t="shared" si="40"/>
        <v>-1535840</v>
      </c>
      <c r="P208" s="40">
        <f t="shared" si="40"/>
        <v>-1833264</v>
      </c>
      <c r="Q208" s="40">
        <f t="shared" si="40"/>
        <v>-2287520</v>
      </c>
      <c r="R208" s="40">
        <f>SUM(F208:Q208)</f>
        <v>-13588260</v>
      </c>
    </row>
    <row r="209" ht="11.25">
      <c r="R209" s="8"/>
    </row>
    <row r="210" spans="1:18" ht="11.25">
      <c r="A210" s="15" t="s">
        <v>49</v>
      </c>
      <c r="R210" s="8"/>
    </row>
    <row r="211" spans="2:18" ht="11.25">
      <c r="B211" s="15" t="s">
        <v>80</v>
      </c>
      <c r="F211" s="22">
        <v>-0.00558</v>
      </c>
      <c r="G211" s="22">
        <f aca="true" t="shared" si="41" ref="G211:L211">+F211</f>
        <v>-0.00558</v>
      </c>
      <c r="H211" s="22">
        <f t="shared" si="41"/>
        <v>-0.00558</v>
      </c>
      <c r="I211" s="22">
        <f t="shared" si="41"/>
        <v>-0.00558</v>
      </c>
      <c r="J211" s="22">
        <f t="shared" si="41"/>
        <v>-0.00558</v>
      </c>
      <c r="K211" s="22">
        <f t="shared" si="41"/>
        <v>-0.00558</v>
      </c>
      <c r="L211" s="22">
        <f t="shared" si="41"/>
        <v>-0.00558</v>
      </c>
      <c r="M211" s="22">
        <f>+L211</f>
        <v>-0.00558</v>
      </c>
      <c r="N211" s="22">
        <f>+M211</f>
        <v>-0.00558</v>
      </c>
      <c r="O211" s="22">
        <f>+N211</f>
        <v>-0.00558</v>
      </c>
      <c r="P211" s="22">
        <f>+O211</f>
        <v>-0.00558</v>
      </c>
      <c r="Q211" s="22">
        <f>+P211</f>
        <v>-0.00558</v>
      </c>
      <c r="R211" s="8"/>
    </row>
    <row r="212" spans="3:18" ht="11.25">
      <c r="C212" s="5" t="s">
        <v>53</v>
      </c>
      <c r="R212" s="8"/>
    </row>
    <row r="213" spans="4:18" ht="11.25">
      <c r="D213" s="20" t="s">
        <v>54</v>
      </c>
      <c r="F213" s="19">
        <f aca="true" t="shared" si="42" ref="F213:Q213">ROUND(F18*F211,2)</f>
        <v>-69750</v>
      </c>
      <c r="G213" s="19">
        <f t="shared" si="42"/>
        <v>-62998.2</v>
      </c>
      <c r="H213" s="19">
        <f t="shared" si="42"/>
        <v>-69750</v>
      </c>
      <c r="I213" s="19">
        <f t="shared" si="42"/>
        <v>-69080.4</v>
      </c>
      <c r="J213" s="19">
        <f t="shared" si="42"/>
        <v>-71424</v>
      </c>
      <c r="K213" s="19">
        <f t="shared" si="42"/>
        <v>-56246.4</v>
      </c>
      <c r="L213" s="19">
        <f t="shared" si="42"/>
        <v>-64783.8</v>
      </c>
      <c r="M213" s="19">
        <f t="shared" si="42"/>
        <v>-68076</v>
      </c>
      <c r="N213" s="19">
        <f t="shared" si="42"/>
        <v>-63723.6</v>
      </c>
      <c r="O213" s="19">
        <f t="shared" si="42"/>
        <v>-64783.8</v>
      </c>
      <c r="P213" s="19">
        <f t="shared" si="42"/>
        <v>-62663.4</v>
      </c>
      <c r="Q213" s="19">
        <f t="shared" si="42"/>
        <v>-65062.8</v>
      </c>
      <c r="R213" s="19">
        <f>SUM(F213:Q213)</f>
        <v>-788342.4000000001</v>
      </c>
    </row>
    <row r="214" spans="4:18" ht="11.25">
      <c r="D214" s="20" t="s">
        <v>55</v>
      </c>
      <c r="F214" s="19">
        <f>ROUND(F19*$F$211,2)</f>
        <v>-1618.2</v>
      </c>
      <c r="G214" s="19">
        <f>ROUND(G19*$G$211,2)</f>
        <v>-1450.8</v>
      </c>
      <c r="H214" s="19">
        <f>ROUND(H19*$H$211,2)</f>
        <v>-1618.2</v>
      </c>
      <c r="I214" s="19">
        <f>ROUND(I19*$I$211,2)</f>
        <v>-3348</v>
      </c>
      <c r="J214" s="19">
        <f>ROUND(J19*$J$211,2)</f>
        <v>-2287.8</v>
      </c>
      <c r="K214" s="19">
        <f>ROUND(K19*$K$211,2)</f>
        <v>-1506.6</v>
      </c>
      <c r="L214" s="19">
        <f>ROUND(L19*$L$211,2)</f>
        <v>-2734.2</v>
      </c>
      <c r="M214" s="19">
        <f>ROUND(M19*$M$211,2)</f>
        <v>-2734.2</v>
      </c>
      <c r="N214" s="19">
        <f>ROUND(N19*$N$211,2)</f>
        <v>-1729.8</v>
      </c>
      <c r="O214" s="19">
        <f>ROUND(O19*$O$211,2)</f>
        <v>-2734.2</v>
      </c>
      <c r="P214" s="19">
        <f>ROUND(P19*$P$211,2)</f>
        <v>-2622.6</v>
      </c>
      <c r="Q214" s="19">
        <f>ROUND(Q19*$Q$211,2)</f>
        <v>-3571.2</v>
      </c>
      <c r="R214" s="19">
        <f>SUM(F214:Q214)</f>
        <v>-27955.8</v>
      </c>
    </row>
    <row r="215" spans="6:18" ht="11.25">
      <c r="F215" s="39">
        <f aca="true" t="shared" si="43" ref="F215:Q215">SUM(F213:F214)</f>
        <v>-71368.2</v>
      </c>
      <c r="G215" s="39">
        <f t="shared" si="43"/>
        <v>-64449</v>
      </c>
      <c r="H215" s="39">
        <f t="shared" si="43"/>
        <v>-71368.2</v>
      </c>
      <c r="I215" s="39">
        <f t="shared" si="43"/>
        <v>-72428.4</v>
      </c>
      <c r="J215" s="39">
        <f t="shared" si="43"/>
        <v>-73711.8</v>
      </c>
      <c r="K215" s="39">
        <f t="shared" si="43"/>
        <v>-57753</v>
      </c>
      <c r="L215" s="39">
        <f t="shared" si="43"/>
        <v>-67518</v>
      </c>
      <c r="M215" s="39">
        <f t="shared" si="43"/>
        <v>-70810.2</v>
      </c>
      <c r="N215" s="39">
        <f t="shared" si="43"/>
        <v>-65453.4</v>
      </c>
      <c r="O215" s="39">
        <f t="shared" si="43"/>
        <v>-67518</v>
      </c>
      <c r="P215" s="39">
        <f t="shared" si="43"/>
        <v>-65286</v>
      </c>
      <c r="Q215" s="39">
        <f t="shared" si="43"/>
        <v>-68634</v>
      </c>
      <c r="R215" s="39">
        <f>SUM(F215:Q215)</f>
        <v>-816298.2000000001</v>
      </c>
    </row>
    <row r="216" spans="6:18" ht="11.25"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3:18" ht="11.25">
      <c r="C217" s="5" t="s">
        <v>56</v>
      </c>
      <c r="F217" s="19">
        <f>ROUND(F22*$F$211,2)</f>
        <v>-264358.08</v>
      </c>
      <c r="G217" s="19">
        <f>ROUND(G22*$G$211,2)</f>
        <v>-246736.44</v>
      </c>
      <c r="H217" s="19">
        <f>ROUND(H22*$H$211,2)</f>
        <v>-273168.9</v>
      </c>
      <c r="I217" s="19">
        <f>ROUND(I22*$I$211,2)</f>
        <v>-264358.08</v>
      </c>
      <c r="J217" s="19">
        <f>ROUND(J22*$J$211,2)</f>
        <v>-255547.26</v>
      </c>
      <c r="K217" s="19">
        <f>ROUND(K22*$K$211,2)</f>
        <v>-264358.08</v>
      </c>
      <c r="L217" s="19">
        <f>ROUND(L22*$L$211,2)</f>
        <v>-273168.9</v>
      </c>
      <c r="M217" s="19">
        <f>ROUND(M22*$M$211,2)</f>
        <v>-273168.9</v>
      </c>
      <c r="N217" s="19">
        <f>ROUND(N22*$N$211,2)</f>
        <v>-255547.26</v>
      </c>
      <c r="O217" s="19">
        <f>ROUND(O22*$O$211,2)</f>
        <v>-273168.9</v>
      </c>
      <c r="P217" s="19">
        <f>ROUND(P22*$P$211,2)</f>
        <v>-264358.08</v>
      </c>
      <c r="Q217" s="19">
        <f>ROUND(Q22*$Q$211,2)</f>
        <v>-258778.08</v>
      </c>
      <c r="R217" s="19">
        <f>SUM(F217:Q217)</f>
        <v>-3166716.9600000004</v>
      </c>
    </row>
    <row r="218" spans="3:18" ht="11.25">
      <c r="C218" s="5" t="s">
        <v>57</v>
      </c>
      <c r="F218" s="19">
        <f>ROUND(F23*$F$211,2)</f>
        <v>-8146.8</v>
      </c>
      <c r="G218" s="19">
        <f>ROUND(G23*$G$211,2)</f>
        <v>-7365.6</v>
      </c>
      <c r="H218" s="19">
        <f>ROUND(H23*$H$211,2)</f>
        <v>-8146.8</v>
      </c>
      <c r="I218" s="19">
        <f>ROUND(I23*$I$211,2)</f>
        <v>-7867.8</v>
      </c>
      <c r="J218" s="19">
        <f>ROUND(J23*$J$211,2)</f>
        <v>-8146.8</v>
      </c>
      <c r="K218" s="19">
        <f>ROUND(K23*$K$211,2)</f>
        <v>-7867.8</v>
      </c>
      <c r="L218" s="19">
        <f>ROUND(L23*$L$211,2)</f>
        <v>-8146.8</v>
      </c>
      <c r="M218" s="19">
        <f>ROUND(M23*$M$211,2)</f>
        <v>-8146.8</v>
      </c>
      <c r="N218" s="19">
        <f>ROUND(N23*$N$211,2)</f>
        <v>-7867.8</v>
      </c>
      <c r="O218" s="19">
        <f>ROUND(O23*$O$211,2)</f>
        <v>-7588.8</v>
      </c>
      <c r="P218" s="19">
        <f>ROUND(P23*$P$211,2)</f>
        <v>-7867.8</v>
      </c>
      <c r="Q218" s="19">
        <f>ROUND(Q23*$Q$211,2)</f>
        <v>-8146.8</v>
      </c>
      <c r="R218" s="19">
        <f>SUM(F218:Q218)</f>
        <v>-95306.40000000002</v>
      </c>
    </row>
    <row r="219" spans="3:18" ht="11.25">
      <c r="C219" s="5" t="s">
        <v>58</v>
      </c>
      <c r="F219" s="19">
        <f>ROUND(F24*$F$211,2)</f>
        <v>-240905.34</v>
      </c>
      <c r="G219" s="19">
        <f>ROUND(G24*$G$211,2)</f>
        <v>-218099.88</v>
      </c>
      <c r="H219" s="19">
        <f>ROUND(H24*$H$211,2)</f>
        <v>-240961.14</v>
      </c>
      <c r="I219" s="19">
        <f>ROUND(I24*$I$211,2)</f>
        <v>-231558.84</v>
      </c>
      <c r="J219" s="19">
        <f>ROUND(J24*$J$211,2)</f>
        <v>-236391.12</v>
      </c>
      <c r="K219" s="19">
        <f>ROUND(K24*$K$211,2)</f>
        <v>-228796.74</v>
      </c>
      <c r="L219" s="19">
        <f>ROUND(L24*$L$211,2)</f>
        <v>-236396.7</v>
      </c>
      <c r="M219" s="19">
        <f>ROUND(M24*$M$211,2)</f>
        <v>-236396.7</v>
      </c>
      <c r="N219" s="19">
        <f>ROUND(N24*$N$211,2)</f>
        <v>-228768.84</v>
      </c>
      <c r="O219" s="19">
        <f>ROUND(O24*$O$211,2)</f>
        <v>-229304.52</v>
      </c>
      <c r="P219" s="19">
        <f>ROUND(P24*$P$211,2)</f>
        <v>-228768.84</v>
      </c>
      <c r="Q219" s="19">
        <f>ROUND(Q24*$Q$211,2)</f>
        <v>-236374.38</v>
      </c>
      <c r="R219" s="19">
        <f>SUM(F219:Q219)</f>
        <v>-2792723.0399999996</v>
      </c>
    </row>
    <row r="220" spans="3:18" ht="11.25">
      <c r="C220" s="5" t="s">
        <v>59</v>
      </c>
      <c r="F220" s="19">
        <f>ROUND(F25*$F$211,2)</f>
        <v>-114390</v>
      </c>
      <c r="G220" s="19">
        <f>ROUND(G25*$G$211,2)</f>
        <v>-113832</v>
      </c>
      <c r="H220" s="19">
        <f>ROUND(H25*$H$211,2)</f>
        <v>-112716</v>
      </c>
      <c r="I220" s="19">
        <f>ROUND(I25*$I$211,2)</f>
        <v>-111042</v>
      </c>
      <c r="J220" s="19">
        <f>ROUND(J25*$J$211,2)</f>
        <v>-69750</v>
      </c>
      <c r="K220" s="19">
        <f>ROUND(K25*$K$211,2)</f>
        <v>-111042</v>
      </c>
      <c r="L220" s="19">
        <f>ROUND(L25*$L$211,2)</f>
        <v>-109926</v>
      </c>
      <c r="M220" s="19">
        <f>ROUND(M25*$M$211,2)</f>
        <v>-109926</v>
      </c>
      <c r="N220" s="19">
        <f>ROUND(N25*$N$211,2)</f>
        <v>-111042</v>
      </c>
      <c r="O220" s="19">
        <f>ROUND(O25*$O$211,2)</f>
        <v>-113274</v>
      </c>
      <c r="P220" s="19">
        <f>ROUND(P25*$P$211,2)</f>
        <v>-112716</v>
      </c>
      <c r="Q220" s="19">
        <f>ROUND(Q25*$Q$211,2)</f>
        <v>-113832</v>
      </c>
      <c r="R220" s="19">
        <f>SUM(F220:Q220)</f>
        <v>-1303488</v>
      </c>
    </row>
    <row r="221" spans="4:18" ht="11.25">
      <c r="D221" s="5" t="s">
        <v>60</v>
      </c>
      <c r="F221" s="19" t="s">
        <v>60</v>
      </c>
      <c r="G221" s="19" t="s">
        <v>60</v>
      </c>
      <c r="H221" s="19" t="s">
        <v>60</v>
      </c>
      <c r="I221" s="19" t="s">
        <v>60</v>
      </c>
      <c r="J221" s="19" t="s">
        <v>60</v>
      </c>
      <c r="K221" s="19" t="s">
        <v>60</v>
      </c>
      <c r="L221" s="19" t="s">
        <v>60</v>
      </c>
      <c r="M221" s="19" t="s">
        <v>60</v>
      </c>
      <c r="N221" s="19" t="s">
        <v>60</v>
      </c>
      <c r="O221" s="19" t="s">
        <v>60</v>
      </c>
      <c r="P221" s="19" t="s">
        <v>60</v>
      </c>
      <c r="Q221" s="19" t="s">
        <v>60</v>
      </c>
      <c r="R221" s="19" t="s">
        <v>60</v>
      </c>
    </row>
    <row r="222" spans="6:18" ht="11.25">
      <c r="F222" s="40">
        <f aca="true" t="shared" si="44" ref="F222:Q222">SUM(F215:F221)</f>
        <v>-699168.42</v>
      </c>
      <c r="G222" s="40">
        <f t="shared" si="44"/>
        <v>-650482.9199999999</v>
      </c>
      <c r="H222" s="40">
        <f t="shared" si="44"/>
        <v>-706361.04</v>
      </c>
      <c r="I222" s="40">
        <f t="shared" si="44"/>
        <v>-687255.12</v>
      </c>
      <c r="J222" s="40">
        <f t="shared" si="44"/>
        <v>-643546.98</v>
      </c>
      <c r="K222" s="40">
        <f t="shared" si="44"/>
        <v>-669817.62</v>
      </c>
      <c r="L222" s="40">
        <f t="shared" si="44"/>
        <v>-695156.4</v>
      </c>
      <c r="M222" s="40">
        <f t="shared" si="44"/>
        <v>-698448.6000000001</v>
      </c>
      <c r="N222" s="40">
        <f t="shared" si="44"/>
        <v>-668679.3</v>
      </c>
      <c r="O222" s="40">
        <f t="shared" si="44"/>
        <v>-690854.22</v>
      </c>
      <c r="P222" s="40">
        <f t="shared" si="44"/>
        <v>-678996.72</v>
      </c>
      <c r="Q222" s="40">
        <f t="shared" si="44"/>
        <v>-685765.26</v>
      </c>
      <c r="R222" s="40">
        <f>SUM(F222:Q222)</f>
        <v>-8174532.599999999</v>
      </c>
    </row>
    <row r="223" spans="6:18" ht="11.25"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6:18" ht="12" thickBot="1">
      <c r="F224" s="41">
        <f aca="true" t="shared" si="45" ref="F224:Q224">+F208+F222</f>
        <v>-1642755.42</v>
      </c>
      <c r="G224" s="41">
        <f t="shared" si="45"/>
        <v>-1485391.92</v>
      </c>
      <c r="H224" s="41">
        <f t="shared" si="45"/>
        <v>-1550297.04</v>
      </c>
      <c r="I224" s="41">
        <f t="shared" si="45"/>
        <v>-1365165.12</v>
      </c>
      <c r="J224" s="41">
        <f t="shared" si="45"/>
        <v>-1227469.98</v>
      </c>
      <c r="K224" s="41">
        <f t="shared" si="45"/>
        <v>-1153204.62</v>
      </c>
      <c r="L224" s="41">
        <f t="shared" si="45"/>
        <v>-1870932.4</v>
      </c>
      <c r="M224" s="41">
        <f t="shared" si="45"/>
        <v>-1847776.6</v>
      </c>
      <c r="N224" s="41">
        <f t="shared" si="45"/>
        <v>-1907559.3</v>
      </c>
      <c r="O224" s="41">
        <f t="shared" si="45"/>
        <v>-2226694.2199999997</v>
      </c>
      <c r="P224" s="41">
        <f t="shared" si="45"/>
        <v>-2512260.7199999997</v>
      </c>
      <c r="Q224" s="41">
        <f t="shared" si="45"/>
        <v>-2973285.26</v>
      </c>
      <c r="R224" s="41">
        <f>SUM(F224:Q224)</f>
        <v>-21762792.6</v>
      </c>
    </row>
    <row r="225" spans="6:18" ht="12" thickTop="1"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6:18" ht="11.25"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2:18" ht="11.25">
      <c r="B227" s="15"/>
      <c r="R227" s="8"/>
    </row>
    <row r="228" spans="1:18" ht="11.25">
      <c r="A228" s="15"/>
      <c r="R228" s="8"/>
    </row>
    <row r="230" spans="4:18" ht="11.25">
      <c r="D230" s="1"/>
      <c r="R230" s="8"/>
    </row>
    <row r="231" spans="4:5" ht="11.25">
      <c r="D231" s="2"/>
      <c r="E231" s="3"/>
    </row>
  </sheetData>
  <printOptions verticalCentered="1"/>
  <pageMargins left="0.5" right="0.5" top="1" bottom="1" header="0.5" footer="0.5"/>
  <pageSetup horizontalDpi="600" verticalDpi="600" orientation="landscape" scale="66" r:id="rId1"/>
  <rowBreaks count="4" manualBreakCount="4">
    <brk id="49" max="255" man="1"/>
    <brk id="98" max="255" man="1"/>
    <brk id="147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Newfoundland &amp; Labrador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Newfoundland and Labrador Hydro</dc:creator>
  <cp:keywords/>
  <dc:description/>
  <cp:lastModifiedBy>Nfld. and Labrador Hydro</cp:lastModifiedBy>
  <cp:lastPrinted>2001-08-24T15:58:43Z</cp:lastPrinted>
  <dcterms:created xsi:type="dcterms:W3CDTF">2000-06-16T17:15:01Z</dcterms:created>
  <dcterms:modified xsi:type="dcterms:W3CDTF">2001-08-24T16:11:35Z</dcterms:modified>
  <cp:category/>
  <cp:version/>
  <cp:contentType/>
  <cp:contentStatus/>
</cp:coreProperties>
</file>